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3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4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5.xml" ContentType="application/vnd.openxmlformats-officedocument.drawingml.chartshapes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6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drawings/drawing7.xml" ContentType="application/vnd.openxmlformats-officedocument.drawing+xml"/>
  <Override PartName="/xl/charts/chart32.xml" ContentType="application/vnd.openxmlformats-officedocument.drawingml.chart+xml"/>
  <Override PartName="/xl/drawings/drawing8.xml" ContentType="application/vnd.openxmlformats-officedocument.drawing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9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ifferent documents UoB\"/>
    </mc:Choice>
  </mc:AlternateContent>
  <bookViews>
    <workbookView xWindow="480" yWindow="435" windowWidth="14355" windowHeight="7635" tabRatio="749" activeTab="8"/>
  </bookViews>
  <sheets>
    <sheet name="48.1-3" sheetId="1" r:id="rId1"/>
    <sheet name="49.1-3" sheetId="2" r:id="rId2"/>
    <sheet name="50.1" sheetId="3" r:id="rId3"/>
    <sheet name="51.1" sheetId="4" r:id="rId4"/>
    <sheet name="52.1" sheetId="5" r:id="rId5"/>
    <sheet name="53.1" sheetId="6" r:id="rId6"/>
    <sheet name="54.1-4" sheetId="7" r:id="rId7"/>
    <sheet name="control" sheetId="8" r:id="rId8"/>
    <sheet name="Phenol calibration " sheetId="9" r:id="rId9"/>
    <sheet name="55" sheetId="10" r:id="rId10"/>
    <sheet name="56" sheetId="11" r:id="rId11"/>
  </sheets>
  <externalReferences>
    <externalReference r:id="rId12"/>
    <externalReference r:id="rId13"/>
  </externalReferences>
  <definedNames>
    <definedName name="_xlnm._FilterDatabase" localSheetId="1" hidden="1">'49.1-3'!$K$1:$AC$31</definedName>
  </definedNames>
  <calcPr calcId="162913"/>
</workbook>
</file>

<file path=xl/calcChain.xml><?xml version="1.0" encoding="utf-8"?>
<calcChain xmlns="http://schemas.openxmlformats.org/spreadsheetml/2006/main">
  <c r="N21" i="11" l="1"/>
  <c r="J21" i="11"/>
  <c r="I21" i="11"/>
  <c r="H21" i="11"/>
  <c r="A21" i="11"/>
  <c r="N20" i="11"/>
  <c r="J20" i="11"/>
  <c r="I20" i="11"/>
  <c r="H20" i="11"/>
  <c r="J19" i="11"/>
  <c r="N19" i="11" s="1"/>
  <c r="I19" i="11"/>
  <c r="H19" i="11"/>
  <c r="J17" i="11"/>
  <c r="I17" i="11"/>
  <c r="M21" i="11" s="1"/>
  <c r="H17" i="11"/>
  <c r="M15" i="11"/>
  <c r="O14" i="11" s="1"/>
  <c r="L15" i="11"/>
  <c r="I15" i="11"/>
  <c r="H15" i="11"/>
  <c r="P14" i="11"/>
  <c r="L14" i="11"/>
  <c r="H14" i="11"/>
  <c r="I13" i="11"/>
  <c r="H13" i="11"/>
  <c r="I11" i="11"/>
  <c r="H11" i="11"/>
  <c r="J9" i="11"/>
  <c r="I9" i="11"/>
  <c r="H9" i="11"/>
  <c r="J8" i="11"/>
  <c r="I8" i="11"/>
  <c r="H8" i="11"/>
  <c r="D8" i="11"/>
  <c r="C8" i="11"/>
  <c r="J7" i="11"/>
  <c r="I7" i="11"/>
  <c r="D7" i="11"/>
  <c r="C7" i="11"/>
  <c r="H7" i="11" s="1"/>
  <c r="A7" i="11"/>
  <c r="H5" i="11"/>
  <c r="E5" i="11"/>
  <c r="J5" i="11" s="1"/>
  <c r="D5" i="11"/>
  <c r="I5" i="11" s="1"/>
  <c r="C5" i="11"/>
  <c r="F1" i="11"/>
  <c r="H9" i="10"/>
  <c r="E9" i="10"/>
  <c r="J9" i="10" s="1"/>
  <c r="C9" i="10"/>
  <c r="AJ8" i="10"/>
  <c r="E8" i="10"/>
  <c r="J8" i="10" s="1"/>
  <c r="C8" i="10"/>
  <c r="H8" i="10" s="1"/>
  <c r="N7" i="10"/>
  <c r="H7" i="10"/>
  <c r="E7" i="10"/>
  <c r="J7" i="10" s="1"/>
  <c r="D7" i="10"/>
  <c r="I7" i="10" s="1"/>
  <c r="C7" i="10"/>
  <c r="A7" i="10"/>
  <c r="E5" i="10"/>
  <c r="J5" i="10" s="1"/>
  <c r="D5" i="10"/>
  <c r="I5" i="10" s="1"/>
  <c r="C5" i="10"/>
  <c r="H5" i="10" s="1"/>
  <c r="F1" i="10"/>
  <c r="H9" i="9"/>
  <c r="F9" i="9"/>
  <c r="E9" i="9"/>
  <c r="D9" i="9"/>
  <c r="H8" i="9"/>
  <c r="F8" i="9"/>
  <c r="E8" i="9"/>
  <c r="D8" i="9"/>
  <c r="H7" i="9"/>
  <c r="F7" i="9"/>
  <c r="E7" i="9"/>
  <c r="D7" i="9"/>
  <c r="H6" i="9"/>
  <c r="F6" i="9"/>
  <c r="E6" i="9"/>
  <c r="D6" i="9"/>
  <c r="H5" i="9"/>
  <c r="F5" i="9"/>
  <c r="E5" i="9"/>
  <c r="D5" i="9"/>
  <c r="H4" i="9"/>
  <c r="F4" i="9"/>
  <c r="E4" i="9"/>
  <c r="D4" i="9"/>
  <c r="H3" i="9"/>
  <c r="AI20" i="7"/>
  <c r="AD20" i="7"/>
  <c r="Z20" i="7"/>
  <c r="Y20" i="7"/>
  <c r="X20" i="7"/>
  <c r="AF20" i="7" s="1"/>
  <c r="V20" i="7"/>
  <c r="AC20" i="7" s="1"/>
  <c r="T20" i="7"/>
  <c r="Z19" i="7"/>
  <c r="AF19" i="7" s="1"/>
  <c r="X19" i="7"/>
  <c r="AE19" i="7" s="1"/>
  <c r="V19" i="7"/>
  <c r="T19" i="7"/>
  <c r="AD19" i="7" s="1"/>
  <c r="AF18" i="7"/>
  <c r="AA18" i="7"/>
  <c r="Z18" i="7"/>
  <c r="AE18" i="7" s="1"/>
  <c r="Y18" i="7"/>
  <c r="X18" i="7"/>
  <c r="W18" i="7"/>
  <c r="V18" i="7"/>
  <c r="U18" i="7"/>
  <c r="AD18" i="7" s="1"/>
  <c r="T18" i="7"/>
  <c r="AA17" i="7"/>
  <c r="Z17" i="7"/>
  <c r="Y17" i="7"/>
  <c r="X17" i="7"/>
  <c r="W17" i="7"/>
  <c r="V17" i="7"/>
  <c r="U17" i="7"/>
  <c r="T17" i="7"/>
  <c r="AD17" i="7" s="1"/>
  <c r="B17" i="7"/>
  <c r="AD16" i="7"/>
  <c r="AA16" i="7"/>
  <c r="Z16" i="7"/>
  <c r="Y16" i="7"/>
  <c r="AE16" i="7" s="1"/>
  <c r="X16" i="7"/>
  <c r="AF16" i="7" s="1"/>
  <c r="W16" i="7"/>
  <c r="V16" i="7"/>
  <c r="U16" i="7"/>
  <c r="T16" i="7"/>
  <c r="AC16" i="7" s="1"/>
  <c r="B16" i="7"/>
  <c r="Z15" i="7"/>
  <c r="X15" i="7"/>
  <c r="AF15" i="7" s="1"/>
  <c r="V15" i="7"/>
  <c r="AD15" i="7" s="1"/>
  <c r="T15" i="7"/>
  <c r="AC15" i="7" s="1"/>
  <c r="A15" i="7"/>
  <c r="A18" i="7" s="1"/>
  <c r="Z14" i="7"/>
  <c r="AF14" i="7" s="1"/>
  <c r="X14" i="7"/>
  <c r="AE14" i="7" s="1"/>
  <c r="W14" i="7"/>
  <c r="V14" i="7"/>
  <c r="AD14" i="7" s="1"/>
  <c r="T14" i="7"/>
  <c r="A14" i="7"/>
  <c r="B14" i="7" s="1"/>
  <c r="Z13" i="7"/>
  <c r="AF13" i="7" s="1"/>
  <c r="X13" i="7"/>
  <c r="W13" i="7"/>
  <c r="V13" i="7"/>
  <c r="T13" i="7"/>
  <c r="B13" i="7"/>
  <c r="A13" i="7"/>
  <c r="AF12" i="7"/>
  <c r="AE12" i="7"/>
  <c r="AA12" i="7"/>
  <c r="Z12" i="7"/>
  <c r="Y12" i="7"/>
  <c r="X12" i="7"/>
  <c r="W12" i="7"/>
  <c r="V12" i="7"/>
  <c r="U12" i="7"/>
  <c r="AD12" i="7" s="1"/>
  <c r="T12" i="7"/>
  <c r="AC12" i="7" s="1"/>
  <c r="B12" i="7"/>
  <c r="AA11" i="7"/>
  <c r="Z11" i="7"/>
  <c r="Y11" i="7"/>
  <c r="X11" i="7"/>
  <c r="W11" i="7"/>
  <c r="V11" i="7"/>
  <c r="U11" i="7"/>
  <c r="T11" i="7"/>
  <c r="B11" i="7"/>
  <c r="AD10" i="7"/>
  <c r="AA10" i="7"/>
  <c r="Z10" i="7"/>
  <c r="Y10" i="7"/>
  <c r="X10" i="7"/>
  <c r="W10" i="7"/>
  <c r="V10" i="7"/>
  <c r="U10" i="7"/>
  <c r="T10" i="7"/>
  <c r="AC10" i="7" s="1"/>
  <c r="B10" i="7"/>
  <c r="AD9" i="7"/>
  <c r="AA9" i="7"/>
  <c r="Z9" i="7"/>
  <c r="Y9" i="7"/>
  <c r="AE9" i="7" s="1"/>
  <c r="X9" i="7"/>
  <c r="AF9" i="7" s="1"/>
  <c r="W9" i="7"/>
  <c r="V9" i="7"/>
  <c r="U9" i="7"/>
  <c r="T9" i="7"/>
  <c r="AC9" i="7" s="1"/>
  <c r="A9" i="7"/>
  <c r="B9" i="7" s="1"/>
  <c r="AH8" i="7"/>
  <c r="AD8" i="7"/>
  <c r="AA8" i="7"/>
  <c r="Z8" i="7"/>
  <c r="Y8" i="7"/>
  <c r="AE8" i="7" s="1"/>
  <c r="X8" i="7"/>
  <c r="AF8" i="7" s="1"/>
  <c r="W8" i="7"/>
  <c r="V8" i="7"/>
  <c r="AI8" i="7" s="1"/>
  <c r="U8" i="7"/>
  <c r="T8" i="7"/>
  <c r="AC8" i="7" s="1"/>
  <c r="A8" i="7"/>
  <c r="B8" i="7" s="1"/>
  <c r="AA7" i="7"/>
  <c r="AF7" i="7" s="1"/>
  <c r="Z7" i="7"/>
  <c r="Y7" i="7"/>
  <c r="X7" i="7"/>
  <c r="W7" i="7"/>
  <c r="V7" i="7"/>
  <c r="U7" i="7"/>
  <c r="T7" i="7"/>
  <c r="B7" i="7"/>
  <c r="A7" i="7"/>
  <c r="Z6" i="7"/>
  <c r="Y6" i="7"/>
  <c r="W6" i="7"/>
  <c r="AJ20" i="7" s="1"/>
  <c r="V6" i="7"/>
  <c r="U6" i="7"/>
  <c r="AD6" i="7" s="1"/>
  <c r="T6" i="7"/>
  <c r="AG20" i="7" s="1"/>
  <c r="S6" i="7"/>
  <c r="AA6" i="7" s="1"/>
  <c r="R6" i="7"/>
  <c r="Q6" i="7"/>
  <c r="P6" i="7"/>
  <c r="X6" i="7" s="1"/>
  <c r="A6" i="7"/>
  <c r="B6" i="7" s="1"/>
  <c r="B39" i="6"/>
  <c r="R33" i="6"/>
  <c r="Q33" i="6"/>
  <c r="P33" i="6"/>
  <c r="O33" i="6"/>
  <c r="R32" i="6"/>
  <c r="Q32" i="6"/>
  <c r="P32" i="6"/>
  <c r="O32" i="6"/>
  <c r="R31" i="6"/>
  <c r="Q31" i="6"/>
  <c r="P31" i="6"/>
  <c r="O31" i="6"/>
  <c r="V20" i="6"/>
  <c r="T20" i="6"/>
  <c r="R20" i="6"/>
  <c r="AC20" i="6" s="1"/>
  <c r="X19" i="6"/>
  <c r="V19" i="6"/>
  <c r="T19" i="6"/>
  <c r="R19" i="6"/>
  <c r="AB18" i="6"/>
  <c r="V18" i="6"/>
  <c r="T18" i="6"/>
  <c r="R18" i="6"/>
  <c r="AC18" i="6" s="1"/>
  <c r="A18" i="6"/>
  <c r="A19" i="6" s="1"/>
  <c r="A20" i="6" s="1"/>
  <c r="V17" i="6"/>
  <c r="T17" i="6"/>
  <c r="R17" i="6"/>
  <c r="V16" i="6"/>
  <c r="T16" i="6"/>
  <c r="R16" i="6"/>
  <c r="AB15" i="6"/>
  <c r="V15" i="6"/>
  <c r="T15" i="6"/>
  <c r="R15" i="6"/>
  <c r="AC15" i="6" s="1"/>
  <c r="A15" i="6"/>
  <c r="V14" i="6"/>
  <c r="T14" i="6"/>
  <c r="R14" i="6"/>
  <c r="V13" i="6"/>
  <c r="AB13" i="6" s="1"/>
  <c r="T13" i="6"/>
  <c r="R13" i="6"/>
  <c r="AC13" i="6" s="1"/>
  <c r="A13" i="6"/>
  <c r="A14" i="6" s="1"/>
  <c r="V12" i="6"/>
  <c r="U12" i="6"/>
  <c r="AC12" i="6" s="1"/>
  <c r="T12" i="6"/>
  <c r="S12" i="6"/>
  <c r="R12" i="6"/>
  <c r="AC11" i="6"/>
  <c r="V11" i="6"/>
  <c r="U11" i="6"/>
  <c r="T11" i="6"/>
  <c r="S11" i="6"/>
  <c r="AB11" i="6" s="1"/>
  <c r="R11" i="6"/>
  <c r="V10" i="6"/>
  <c r="U10" i="6"/>
  <c r="T10" i="6"/>
  <c r="S10" i="6"/>
  <c r="R10" i="6"/>
  <c r="AC10" i="6" s="1"/>
  <c r="V9" i="6"/>
  <c r="U9" i="6"/>
  <c r="T9" i="6"/>
  <c r="S9" i="6"/>
  <c r="R9" i="6"/>
  <c r="A9" i="6"/>
  <c r="V8" i="6"/>
  <c r="U8" i="6"/>
  <c r="T8" i="6"/>
  <c r="S8" i="6"/>
  <c r="R8" i="6"/>
  <c r="A8" i="6"/>
  <c r="V7" i="6"/>
  <c r="T7" i="6"/>
  <c r="R7" i="6"/>
  <c r="A7" i="6"/>
  <c r="V6" i="6"/>
  <c r="T6" i="6"/>
  <c r="AC6" i="6" s="1"/>
  <c r="R6" i="6"/>
  <c r="A6" i="6"/>
  <c r="V5" i="6"/>
  <c r="Y7" i="6" s="1"/>
  <c r="U5" i="6"/>
  <c r="T5" i="6"/>
  <c r="X7" i="6" s="1"/>
  <c r="S5" i="6"/>
  <c r="R5" i="6"/>
  <c r="AE26" i="5"/>
  <c r="A26" i="5"/>
  <c r="AB25" i="5"/>
  <c r="AA25" i="5"/>
  <c r="X25" i="5"/>
  <c r="AC26" i="5" s="1"/>
  <c r="V25" i="5"/>
  <c r="Z25" i="5" s="1"/>
  <c r="T25" i="5"/>
  <c r="Y25" i="5" s="1"/>
  <c r="AD26" i="5" s="1"/>
  <c r="R25" i="5"/>
  <c r="A24" i="5"/>
  <c r="Z23" i="5"/>
  <c r="V23" i="5"/>
  <c r="T23" i="5"/>
  <c r="Y23" i="5" s="1"/>
  <c r="AD23" i="5" s="1"/>
  <c r="R23" i="5"/>
  <c r="A23" i="5"/>
  <c r="V21" i="5"/>
  <c r="AA21" i="5" s="1"/>
  <c r="T21" i="5"/>
  <c r="Y21" i="5" s="1"/>
  <c r="R21" i="5"/>
  <c r="A21" i="5"/>
  <c r="W20" i="5"/>
  <c r="V20" i="5"/>
  <c r="T20" i="5"/>
  <c r="Y20" i="5" s="1"/>
  <c r="R20" i="5"/>
  <c r="V19" i="5"/>
  <c r="T19" i="5"/>
  <c r="R19" i="5"/>
  <c r="Z18" i="5"/>
  <c r="V18" i="5"/>
  <c r="T18" i="5"/>
  <c r="R18" i="5"/>
  <c r="AB15" i="5"/>
  <c r="Y15" i="5"/>
  <c r="V15" i="5"/>
  <c r="Z15" i="5" s="1"/>
  <c r="T15" i="5"/>
  <c r="R15" i="5"/>
  <c r="Z14" i="5"/>
  <c r="Y14" i="5"/>
  <c r="V14" i="5"/>
  <c r="T14" i="5"/>
  <c r="R14" i="5"/>
  <c r="A14" i="5"/>
  <c r="A15" i="5" s="1"/>
  <c r="A18" i="5" s="1"/>
  <c r="A19" i="5" s="1"/>
  <c r="Y11" i="5"/>
  <c r="W11" i="5"/>
  <c r="V11" i="5"/>
  <c r="Z11" i="5" s="1"/>
  <c r="T11" i="5"/>
  <c r="R11" i="5"/>
  <c r="A11" i="5"/>
  <c r="AB9" i="5"/>
  <c r="W9" i="5"/>
  <c r="V9" i="5"/>
  <c r="Z9" i="5" s="1"/>
  <c r="U9" i="5"/>
  <c r="Y9" i="5" s="1"/>
  <c r="T9" i="5"/>
  <c r="S9" i="5"/>
  <c r="X9" i="5" s="1"/>
  <c r="R9" i="5"/>
  <c r="A9" i="5"/>
  <c r="X8" i="5"/>
  <c r="W8" i="5"/>
  <c r="V8" i="5"/>
  <c r="Z8" i="5" s="1"/>
  <c r="U8" i="5"/>
  <c r="T8" i="5"/>
  <c r="S8" i="5"/>
  <c r="R8" i="5"/>
  <c r="A8" i="5"/>
  <c r="W7" i="5"/>
  <c r="Z7" i="5" s="1"/>
  <c r="V7" i="5"/>
  <c r="S7" i="5"/>
  <c r="R7" i="5"/>
  <c r="X7" i="5" s="1"/>
  <c r="O7" i="5"/>
  <c r="U7" i="5" s="1"/>
  <c r="N7" i="5"/>
  <c r="T7" i="5" s="1"/>
  <c r="Y7" i="5" s="1"/>
  <c r="L7" i="5"/>
  <c r="A7" i="5"/>
  <c r="W6" i="5"/>
  <c r="V6" i="5"/>
  <c r="Z6" i="5" s="1"/>
  <c r="U6" i="5"/>
  <c r="Y6" i="5" s="1"/>
  <c r="T6" i="5"/>
  <c r="S6" i="5"/>
  <c r="R6" i="5"/>
  <c r="A6" i="5"/>
  <c r="Y5" i="5"/>
  <c r="AD15" i="5" s="1"/>
  <c r="W5" i="5"/>
  <c r="Z5" i="5" s="1"/>
  <c r="V5" i="5"/>
  <c r="U5" i="5"/>
  <c r="T5" i="5"/>
  <c r="S5" i="5"/>
  <c r="R5" i="5"/>
  <c r="X53" i="4"/>
  <c r="A34" i="4"/>
  <c r="A32" i="4"/>
  <c r="V31" i="4"/>
  <c r="V30" i="4"/>
  <c r="V29" i="4"/>
  <c r="V28" i="4"/>
  <c r="V27" i="4"/>
  <c r="V26" i="4"/>
  <c r="V25" i="4"/>
  <c r="V24" i="4"/>
  <c r="A24" i="4"/>
  <c r="V23" i="4"/>
  <c r="A23" i="4"/>
  <c r="V22" i="4"/>
  <c r="V21" i="4"/>
  <c r="AC20" i="4"/>
  <c r="Y20" i="4"/>
  <c r="V20" i="4"/>
  <c r="T20" i="4"/>
  <c r="R20" i="4"/>
  <c r="Y19" i="4"/>
  <c r="V19" i="4"/>
  <c r="AC19" i="4" s="1"/>
  <c r="T19" i="4"/>
  <c r="R19" i="4"/>
  <c r="AC18" i="4"/>
  <c r="X18" i="4"/>
  <c r="V18" i="4"/>
  <c r="T18" i="4"/>
  <c r="R18" i="4"/>
  <c r="AC17" i="4"/>
  <c r="AB17" i="4"/>
  <c r="X17" i="4"/>
  <c r="V17" i="4"/>
  <c r="T17" i="4"/>
  <c r="Y17" i="4" s="1"/>
  <c r="R17" i="4"/>
  <c r="AA16" i="4"/>
  <c r="X16" i="4"/>
  <c r="V16" i="4"/>
  <c r="AC16" i="4" s="1"/>
  <c r="T16" i="4"/>
  <c r="Y16" i="4" s="1"/>
  <c r="R16" i="4"/>
  <c r="AA15" i="4"/>
  <c r="X15" i="4"/>
  <c r="V15" i="4"/>
  <c r="AC15" i="4" s="1"/>
  <c r="T15" i="4"/>
  <c r="Y15" i="4" s="1"/>
  <c r="R15" i="4"/>
  <c r="A15" i="4"/>
  <c r="A18" i="4" s="1"/>
  <c r="A19" i="4" s="1"/>
  <c r="A20" i="4" s="1"/>
  <c r="AC14" i="4"/>
  <c r="Y14" i="4"/>
  <c r="X14" i="4"/>
  <c r="V14" i="4"/>
  <c r="T14" i="4"/>
  <c r="R14" i="4"/>
  <c r="AA14" i="4" s="1"/>
  <c r="A14" i="4"/>
  <c r="AC13" i="4"/>
  <c r="W13" i="4"/>
  <c r="V13" i="4"/>
  <c r="T13" i="4"/>
  <c r="Y13" i="4" s="1"/>
  <c r="R13" i="4"/>
  <c r="AB13" i="4" s="1"/>
  <c r="A13" i="4"/>
  <c r="X12" i="4"/>
  <c r="W12" i="4"/>
  <c r="V12" i="4"/>
  <c r="AC12" i="4" s="1"/>
  <c r="U12" i="4"/>
  <c r="T12" i="4"/>
  <c r="S12" i="4"/>
  <c r="R12" i="4"/>
  <c r="AB12" i="4" s="1"/>
  <c r="W11" i="4"/>
  <c r="V11" i="4"/>
  <c r="AC11" i="4" s="1"/>
  <c r="U11" i="4"/>
  <c r="Y11" i="4" s="1"/>
  <c r="T11" i="4"/>
  <c r="S11" i="4"/>
  <c r="R11" i="4"/>
  <c r="X11" i="4" s="1"/>
  <c r="AC10" i="4"/>
  <c r="X10" i="4"/>
  <c r="W10" i="4"/>
  <c r="V10" i="4"/>
  <c r="U10" i="4"/>
  <c r="T10" i="4"/>
  <c r="Y10" i="4" s="1"/>
  <c r="S10" i="4"/>
  <c r="R10" i="4"/>
  <c r="AC9" i="4"/>
  <c r="W9" i="4"/>
  <c r="V9" i="4"/>
  <c r="U9" i="4"/>
  <c r="AB9" i="4" s="1"/>
  <c r="T9" i="4"/>
  <c r="S9" i="4"/>
  <c r="X9" i="4" s="1"/>
  <c r="R9" i="4"/>
  <c r="A9" i="4"/>
  <c r="AC8" i="4"/>
  <c r="X8" i="4"/>
  <c r="W8" i="4"/>
  <c r="V8" i="4"/>
  <c r="U8" i="4"/>
  <c r="T8" i="4"/>
  <c r="Y8" i="4" s="1"/>
  <c r="S8" i="4"/>
  <c r="AB8" i="4" s="1"/>
  <c r="R8" i="4"/>
  <c r="A8" i="4"/>
  <c r="AC7" i="4"/>
  <c r="AB7" i="4"/>
  <c r="W7" i="4"/>
  <c r="V7" i="4"/>
  <c r="U7" i="4"/>
  <c r="Y7" i="4" s="1"/>
  <c r="T7" i="4"/>
  <c r="S7" i="4"/>
  <c r="X7" i="4" s="1"/>
  <c r="R7" i="4"/>
  <c r="AA7" i="4" s="1"/>
  <c r="A7" i="4"/>
  <c r="AC6" i="4"/>
  <c r="W6" i="4"/>
  <c r="V6" i="4"/>
  <c r="U6" i="4"/>
  <c r="AB6" i="4" s="1"/>
  <c r="T6" i="4"/>
  <c r="S6" i="4"/>
  <c r="X6" i="4" s="1"/>
  <c r="R6" i="4"/>
  <c r="A6" i="4"/>
  <c r="AC5" i="4"/>
  <c r="Y5" i="4"/>
  <c r="U5" i="4"/>
  <c r="T5" i="4"/>
  <c r="S5" i="4"/>
  <c r="R5" i="4"/>
  <c r="X5" i="4" s="1"/>
  <c r="Y31" i="3"/>
  <c r="V31" i="3"/>
  <c r="A31" i="3"/>
  <c r="Z30" i="3"/>
  <c r="T30" i="3"/>
  <c r="Y30" i="3" s="1"/>
  <c r="P30" i="3"/>
  <c r="V30" i="3" s="1"/>
  <c r="N30" i="3"/>
  <c r="L30" i="3"/>
  <c r="R30" i="3" s="1"/>
  <c r="X30" i="3" s="1"/>
  <c r="AA29" i="3"/>
  <c r="V29" i="3"/>
  <c r="Z29" i="3" s="1"/>
  <c r="T29" i="3"/>
  <c r="Y29" i="3" s="1"/>
  <c r="P29" i="3"/>
  <c r="N29" i="3"/>
  <c r="L29" i="3"/>
  <c r="R29" i="3" s="1"/>
  <c r="X29" i="3" s="1"/>
  <c r="A29" i="3"/>
  <c r="A30" i="3" s="1"/>
  <c r="X28" i="3"/>
  <c r="R28" i="3"/>
  <c r="P28" i="3"/>
  <c r="V28" i="3" s="1"/>
  <c r="Z28" i="3" s="1"/>
  <c r="N28" i="3"/>
  <c r="T28" i="3" s="1"/>
  <c r="Y28" i="3" s="1"/>
  <c r="L28" i="3"/>
  <c r="A28" i="3"/>
  <c r="Y27" i="3"/>
  <c r="V27" i="3"/>
  <c r="Z27" i="3" s="1"/>
  <c r="AE28" i="3" s="1"/>
  <c r="R27" i="3"/>
  <c r="AA27" i="3" s="1"/>
  <c r="P27" i="3"/>
  <c r="N27" i="3"/>
  <c r="T27" i="3" s="1"/>
  <c r="L27" i="3"/>
  <c r="X26" i="3"/>
  <c r="V26" i="3"/>
  <c r="Z26" i="3" s="1"/>
  <c r="T26" i="3"/>
  <c r="Y26" i="3" s="1"/>
  <c r="R26" i="3"/>
  <c r="A26" i="3"/>
  <c r="AB25" i="3"/>
  <c r="X25" i="3"/>
  <c r="V25" i="3"/>
  <c r="Z25" i="3" s="1"/>
  <c r="R25" i="3"/>
  <c r="P25" i="3"/>
  <c r="N25" i="3"/>
  <c r="T25" i="3" s="1"/>
  <c r="Y25" i="3" s="1"/>
  <c r="L25" i="3"/>
  <c r="A25" i="3"/>
  <c r="Y24" i="3"/>
  <c r="R24" i="3"/>
  <c r="X24" i="3" s="1"/>
  <c r="P24" i="3"/>
  <c r="V24" i="3" s="1"/>
  <c r="Z24" i="3" s="1"/>
  <c r="N24" i="3"/>
  <c r="T24" i="3" s="1"/>
  <c r="L24" i="3"/>
  <c r="A24" i="3"/>
  <c r="X23" i="3"/>
  <c r="V23" i="3"/>
  <c r="Z23" i="3" s="1"/>
  <c r="R23" i="3"/>
  <c r="P23" i="3"/>
  <c r="N23" i="3"/>
  <c r="T23" i="3" s="1"/>
  <c r="Y23" i="3" s="1"/>
  <c r="L23" i="3"/>
  <c r="AB22" i="3"/>
  <c r="AA22" i="3"/>
  <c r="Z22" i="3"/>
  <c r="Y22" i="3"/>
  <c r="X22" i="3"/>
  <c r="Z21" i="3"/>
  <c r="V21" i="3"/>
  <c r="T21" i="3"/>
  <c r="R21" i="3"/>
  <c r="X21" i="3" s="1"/>
  <c r="A21" i="3"/>
  <c r="A22" i="3" s="1"/>
  <c r="Z20" i="3"/>
  <c r="V20" i="3"/>
  <c r="T20" i="3"/>
  <c r="Y20" i="3" s="1"/>
  <c r="R20" i="3"/>
  <c r="A20" i="3"/>
  <c r="Y19" i="3"/>
  <c r="V19" i="3"/>
  <c r="Z19" i="3" s="1"/>
  <c r="T19" i="3"/>
  <c r="R19" i="3"/>
  <c r="A19" i="3"/>
  <c r="Z18" i="3"/>
  <c r="V18" i="3"/>
  <c r="T18" i="3"/>
  <c r="S18" i="3"/>
  <c r="R18" i="3"/>
  <c r="A18" i="3"/>
  <c r="U17" i="3"/>
  <c r="T17" i="3"/>
  <c r="Y17" i="3" s="1"/>
  <c r="Q17" i="3"/>
  <c r="W17" i="3" s="1"/>
  <c r="P17" i="3"/>
  <c r="V17" i="3" s="1"/>
  <c r="O17" i="3"/>
  <c r="N17" i="3"/>
  <c r="M17" i="3"/>
  <c r="S17" i="3" s="1"/>
  <c r="AB17" i="3" s="1"/>
  <c r="L17" i="3"/>
  <c r="R17" i="3" s="1"/>
  <c r="Z16" i="3"/>
  <c r="Y16" i="3"/>
  <c r="V16" i="3"/>
  <c r="T16" i="3"/>
  <c r="R16" i="3"/>
  <c r="A16" i="3"/>
  <c r="Z15" i="3"/>
  <c r="W15" i="3"/>
  <c r="V15" i="3"/>
  <c r="AA15" i="3" s="1"/>
  <c r="T15" i="3"/>
  <c r="Y15" i="3" s="1"/>
  <c r="R15" i="3"/>
  <c r="AB15" i="3" s="1"/>
  <c r="A15" i="3"/>
  <c r="Y14" i="3"/>
  <c r="W14" i="3"/>
  <c r="V14" i="3"/>
  <c r="Z14" i="3" s="1"/>
  <c r="T14" i="3"/>
  <c r="R14" i="3"/>
  <c r="AB14" i="3" s="1"/>
  <c r="A14" i="3"/>
  <c r="W13" i="3"/>
  <c r="T13" i="3"/>
  <c r="S13" i="3"/>
  <c r="Q13" i="3"/>
  <c r="P13" i="3"/>
  <c r="V13" i="3" s="1"/>
  <c r="Z13" i="3" s="1"/>
  <c r="AE14" i="3" s="1"/>
  <c r="O13" i="3"/>
  <c r="U13" i="3" s="1"/>
  <c r="N13" i="3"/>
  <c r="M13" i="3"/>
  <c r="L13" i="3"/>
  <c r="R13" i="3" s="1"/>
  <c r="AB12" i="3"/>
  <c r="X12" i="3"/>
  <c r="W12" i="3"/>
  <c r="V12" i="3"/>
  <c r="Z12" i="3" s="1"/>
  <c r="U12" i="3"/>
  <c r="T12" i="3"/>
  <c r="Y12" i="3" s="1"/>
  <c r="S12" i="3"/>
  <c r="R12" i="3"/>
  <c r="A12" i="3"/>
  <c r="B12" i="3" s="1"/>
  <c r="W11" i="3"/>
  <c r="V11" i="3"/>
  <c r="Z11" i="3" s="1"/>
  <c r="U11" i="3"/>
  <c r="Y11" i="3" s="1"/>
  <c r="T11" i="3"/>
  <c r="S11" i="3"/>
  <c r="R11" i="3"/>
  <c r="B11" i="3"/>
  <c r="A11" i="3"/>
  <c r="W10" i="3"/>
  <c r="V10" i="3"/>
  <c r="U10" i="3"/>
  <c r="T10" i="3"/>
  <c r="Y10" i="3" s="1"/>
  <c r="S10" i="3"/>
  <c r="AA10" i="3" s="1"/>
  <c r="R10" i="3"/>
  <c r="B10" i="3"/>
  <c r="W9" i="3"/>
  <c r="V9" i="3"/>
  <c r="U9" i="3"/>
  <c r="T9" i="3"/>
  <c r="Y9" i="3" s="1"/>
  <c r="S9" i="3"/>
  <c r="AA9" i="3" s="1"/>
  <c r="R9" i="3"/>
  <c r="A9" i="3"/>
  <c r="B9" i="3" s="1"/>
  <c r="W8" i="3"/>
  <c r="V8" i="3"/>
  <c r="Z8" i="3" s="1"/>
  <c r="U8" i="3"/>
  <c r="Y8" i="3" s="1"/>
  <c r="T8" i="3"/>
  <c r="S8" i="3"/>
  <c r="R8" i="3"/>
  <c r="B8" i="3"/>
  <c r="A8" i="3"/>
  <c r="W7" i="3"/>
  <c r="V7" i="3"/>
  <c r="Z7" i="3" s="1"/>
  <c r="U7" i="3"/>
  <c r="T7" i="3"/>
  <c r="Y7" i="3" s="1"/>
  <c r="S7" i="3"/>
  <c r="R7" i="3"/>
  <c r="L7" i="3"/>
  <c r="A7" i="3"/>
  <c r="B7" i="3" s="1"/>
  <c r="X6" i="3"/>
  <c r="W6" i="3"/>
  <c r="V6" i="3"/>
  <c r="Z6" i="3" s="1"/>
  <c r="U6" i="3"/>
  <c r="T6" i="3"/>
  <c r="Y6" i="3" s="1"/>
  <c r="S6" i="3"/>
  <c r="R6" i="3"/>
  <c r="A6" i="3"/>
  <c r="B6" i="3" s="1"/>
  <c r="Y30" i="2"/>
  <c r="T30" i="2"/>
  <c r="R30" i="2"/>
  <c r="P30" i="2"/>
  <c r="V30" i="2" s="1"/>
  <c r="Z30" i="2" s="1"/>
  <c r="N30" i="2"/>
  <c r="A30" i="2"/>
  <c r="Y29" i="2"/>
  <c r="X29" i="2"/>
  <c r="T29" i="2"/>
  <c r="R29" i="2"/>
  <c r="AA29" i="2" s="1"/>
  <c r="P29" i="2"/>
  <c r="V29" i="2" s="1"/>
  <c r="Z29" i="2" s="1"/>
  <c r="N29" i="2"/>
  <c r="L29" i="2"/>
  <c r="AB28" i="2"/>
  <c r="Y28" i="2"/>
  <c r="X28" i="2"/>
  <c r="T28" i="2"/>
  <c r="R28" i="2"/>
  <c r="AA28" i="2" s="1"/>
  <c r="P28" i="2"/>
  <c r="V28" i="2" s="1"/>
  <c r="Z28" i="2" s="1"/>
  <c r="N28" i="2"/>
  <c r="L28" i="2"/>
  <c r="A28" i="2"/>
  <c r="A29" i="2" s="1"/>
  <c r="Y27" i="2"/>
  <c r="T27" i="2"/>
  <c r="R27" i="2"/>
  <c r="P27" i="2"/>
  <c r="V27" i="2" s="1"/>
  <c r="Z27" i="2" s="1"/>
  <c r="N27" i="2"/>
  <c r="L27" i="2"/>
  <c r="A27" i="2"/>
  <c r="Y26" i="2"/>
  <c r="AC27" i="2" s="1"/>
  <c r="T26" i="2"/>
  <c r="R26" i="2"/>
  <c r="P26" i="2"/>
  <c r="V26" i="2" s="1"/>
  <c r="Z26" i="2" s="1"/>
  <c r="N26" i="2"/>
  <c r="L26" i="2"/>
  <c r="AB25" i="2"/>
  <c r="Z25" i="2"/>
  <c r="Y25" i="2"/>
  <c r="X25" i="2"/>
  <c r="R25" i="2"/>
  <c r="AA25" i="2" s="1"/>
  <c r="A25" i="2"/>
  <c r="AA24" i="2"/>
  <c r="Z24" i="2"/>
  <c r="T24" i="2"/>
  <c r="Y24" i="2" s="1"/>
  <c r="P24" i="2"/>
  <c r="N24" i="2"/>
  <c r="L24" i="2"/>
  <c r="R24" i="2" s="1"/>
  <c r="Z23" i="2"/>
  <c r="V23" i="2"/>
  <c r="T23" i="2"/>
  <c r="Y23" i="2" s="1"/>
  <c r="P23" i="2"/>
  <c r="N23" i="2"/>
  <c r="L23" i="2"/>
  <c r="R23" i="2" s="1"/>
  <c r="A23" i="2"/>
  <c r="A24" i="2" s="1"/>
  <c r="Z22" i="2"/>
  <c r="V22" i="2"/>
  <c r="P22" i="2"/>
  <c r="N22" i="2"/>
  <c r="T22" i="2" s="1"/>
  <c r="Y22" i="2" s="1"/>
  <c r="L22" i="2"/>
  <c r="R22" i="2" s="1"/>
  <c r="A22" i="2"/>
  <c r="Z21" i="2"/>
  <c r="W21" i="2"/>
  <c r="V21" i="2"/>
  <c r="S21" i="2"/>
  <c r="AA21" i="2" s="1"/>
  <c r="R21" i="2"/>
  <c r="Q21" i="2"/>
  <c r="P21" i="2"/>
  <c r="O21" i="2"/>
  <c r="U21" i="2" s="1"/>
  <c r="N21" i="2"/>
  <c r="T21" i="2" s="1"/>
  <c r="M21" i="2"/>
  <c r="L21" i="2"/>
  <c r="Y20" i="2"/>
  <c r="X20" i="2"/>
  <c r="V20" i="2"/>
  <c r="Z20" i="2" s="1"/>
  <c r="R20" i="2"/>
  <c r="A20" i="2"/>
  <c r="AA19" i="2"/>
  <c r="X19" i="2"/>
  <c r="V19" i="2"/>
  <c r="Z19" i="2" s="1"/>
  <c r="T19" i="2"/>
  <c r="Y19" i="2" s="1"/>
  <c r="R19" i="2"/>
  <c r="A19" i="2"/>
  <c r="Z18" i="2"/>
  <c r="V18" i="2"/>
  <c r="T18" i="2"/>
  <c r="Y18" i="2" s="1"/>
  <c r="R18" i="2"/>
  <c r="A18" i="2"/>
  <c r="Z17" i="2"/>
  <c r="V17" i="2"/>
  <c r="U17" i="2"/>
  <c r="T17" i="2"/>
  <c r="Y17" i="2" s="1"/>
  <c r="S17" i="2"/>
  <c r="R17" i="2"/>
  <c r="AA17" i="2" s="1"/>
  <c r="A17" i="2"/>
  <c r="U16" i="2"/>
  <c r="T16" i="2"/>
  <c r="Y16" i="2" s="1"/>
  <c r="Q16" i="2"/>
  <c r="W16" i="2" s="1"/>
  <c r="P16" i="2"/>
  <c r="V16" i="2" s="1"/>
  <c r="Z16" i="2" s="1"/>
  <c r="AE18" i="2" s="1"/>
  <c r="O16" i="2"/>
  <c r="N16" i="2"/>
  <c r="M16" i="2"/>
  <c r="S16" i="2" s="1"/>
  <c r="L16" i="2"/>
  <c r="R16" i="2" s="1"/>
  <c r="AA16" i="2" s="1"/>
  <c r="Z15" i="2"/>
  <c r="V15" i="2"/>
  <c r="T15" i="2"/>
  <c r="Y15" i="2" s="1"/>
  <c r="R15" i="2"/>
  <c r="A15" i="2"/>
  <c r="Z14" i="2"/>
  <c r="W14" i="2"/>
  <c r="V14" i="2"/>
  <c r="AA14" i="2" s="1"/>
  <c r="T14" i="2"/>
  <c r="Y14" i="2" s="1"/>
  <c r="R14" i="2"/>
  <c r="AB14" i="2" s="1"/>
  <c r="A14" i="2"/>
  <c r="Z13" i="2"/>
  <c r="V13" i="2"/>
  <c r="T13" i="2"/>
  <c r="Y13" i="2" s="1"/>
  <c r="S13" i="2"/>
  <c r="R13" i="2"/>
  <c r="A13" i="2"/>
  <c r="AB12" i="2"/>
  <c r="AA12" i="2"/>
  <c r="W12" i="2"/>
  <c r="V12" i="2"/>
  <c r="Z12" i="2" s="1"/>
  <c r="AE13" i="2" s="1"/>
  <c r="U12" i="2"/>
  <c r="T12" i="2"/>
  <c r="Y12" i="2" s="1"/>
  <c r="AD13" i="2" s="1"/>
  <c r="S12" i="2"/>
  <c r="X12" i="2" s="1"/>
  <c r="R12" i="2"/>
  <c r="AA11" i="2"/>
  <c r="Y11" i="2"/>
  <c r="X11" i="2"/>
  <c r="W11" i="2"/>
  <c r="AB11" i="2" s="1"/>
  <c r="V11" i="2"/>
  <c r="Z11" i="2" s="1"/>
  <c r="W10" i="2"/>
  <c r="V10" i="2"/>
  <c r="Z10" i="2" s="1"/>
  <c r="U10" i="2"/>
  <c r="T10" i="2"/>
  <c r="Y10" i="2" s="1"/>
  <c r="S10" i="2"/>
  <c r="R10" i="2"/>
  <c r="A10" i="2"/>
  <c r="W9" i="2"/>
  <c r="V9" i="2"/>
  <c r="Z9" i="2" s="1"/>
  <c r="U9" i="2"/>
  <c r="T9" i="2"/>
  <c r="Y9" i="2" s="1"/>
  <c r="S9" i="2"/>
  <c r="R9" i="2"/>
  <c r="AA9" i="2" s="1"/>
  <c r="W8" i="2"/>
  <c r="V8" i="2"/>
  <c r="Z8" i="2" s="1"/>
  <c r="U8" i="2"/>
  <c r="Y8" i="2" s="1"/>
  <c r="T8" i="2"/>
  <c r="S8" i="2"/>
  <c r="R8" i="2"/>
  <c r="W7" i="2"/>
  <c r="V7" i="2"/>
  <c r="Z7" i="2" s="1"/>
  <c r="U7" i="2"/>
  <c r="Y7" i="2" s="1"/>
  <c r="T7" i="2"/>
  <c r="S7" i="2"/>
  <c r="R7" i="2"/>
  <c r="AB6" i="2"/>
  <c r="X6" i="2"/>
  <c r="W6" i="2"/>
  <c r="V6" i="2"/>
  <c r="Z6" i="2" s="1"/>
  <c r="U6" i="2"/>
  <c r="T6" i="2"/>
  <c r="Y6" i="2" s="1"/>
  <c r="S6" i="2"/>
  <c r="R6" i="2"/>
  <c r="AA6" i="2" s="1"/>
  <c r="X5" i="2"/>
  <c r="AC11" i="2" s="1"/>
  <c r="W5" i="2"/>
  <c r="V5" i="2"/>
  <c r="U5" i="2"/>
  <c r="T5" i="2"/>
  <c r="Y5" i="2" s="1"/>
  <c r="AD11" i="2" s="1"/>
  <c r="S5" i="2"/>
  <c r="AB5" i="2" s="1"/>
  <c r="R5" i="2"/>
  <c r="Y28" i="1"/>
  <c r="S28" i="1"/>
  <c r="X28" i="1" s="1"/>
  <c r="Q28" i="1"/>
  <c r="Z28" i="1" s="1"/>
  <c r="M28" i="1"/>
  <c r="A28" i="1"/>
  <c r="W27" i="1"/>
  <c r="U27" i="1"/>
  <c r="Y27" i="1" s="1"/>
  <c r="Q27" i="1"/>
  <c r="O27" i="1"/>
  <c r="M27" i="1"/>
  <c r="S27" i="1" s="1"/>
  <c r="X27" i="1" s="1"/>
  <c r="K27" i="1"/>
  <c r="W26" i="1"/>
  <c r="U26" i="1"/>
  <c r="Y26" i="1" s="1"/>
  <c r="Q26" i="1"/>
  <c r="O26" i="1"/>
  <c r="M26" i="1"/>
  <c r="S26" i="1" s="1"/>
  <c r="X26" i="1" s="1"/>
  <c r="K26" i="1"/>
  <c r="A26" i="1"/>
  <c r="A27" i="1" s="1"/>
  <c r="Q25" i="1"/>
  <c r="Z25" i="1" s="1"/>
  <c r="O25" i="1"/>
  <c r="U25" i="1" s="1"/>
  <c r="Y25" i="1" s="1"/>
  <c r="M25" i="1"/>
  <c r="S25" i="1" s="1"/>
  <c r="X25" i="1" s="1"/>
  <c r="K25" i="1"/>
  <c r="A25" i="1"/>
  <c r="Q24" i="1"/>
  <c r="Z24" i="1" s="1"/>
  <c r="O24" i="1"/>
  <c r="U24" i="1" s="1"/>
  <c r="Y24" i="1" s="1"/>
  <c r="AD25" i="1" s="1"/>
  <c r="M24" i="1"/>
  <c r="S24" i="1" s="1"/>
  <c r="X24" i="1" s="1"/>
  <c r="K24" i="1"/>
  <c r="AA23" i="1"/>
  <c r="Z23" i="1"/>
  <c r="Y23" i="1"/>
  <c r="X23" i="1"/>
  <c r="W23" i="1"/>
  <c r="A23" i="1"/>
  <c r="S22" i="1"/>
  <c r="X22" i="1" s="1"/>
  <c r="O22" i="1"/>
  <c r="U22" i="1" s="1"/>
  <c r="Y22" i="1" s="1"/>
  <c r="M22" i="1"/>
  <c r="K22" i="1"/>
  <c r="Q22" i="1" s="1"/>
  <c r="S21" i="1"/>
  <c r="X21" i="1" s="1"/>
  <c r="O21" i="1"/>
  <c r="U21" i="1" s="1"/>
  <c r="Y21" i="1" s="1"/>
  <c r="M21" i="1"/>
  <c r="K21" i="1"/>
  <c r="Q21" i="1" s="1"/>
  <c r="A21" i="1"/>
  <c r="A22" i="1" s="1"/>
  <c r="Y20" i="1"/>
  <c r="Q20" i="1"/>
  <c r="O20" i="1"/>
  <c r="U20" i="1" s="1"/>
  <c r="M20" i="1"/>
  <c r="S20" i="1" s="1"/>
  <c r="X20" i="1" s="1"/>
  <c r="L20" i="1"/>
  <c r="R20" i="1" s="1"/>
  <c r="A20" i="1"/>
  <c r="Y19" i="1"/>
  <c r="V19" i="1"/>
  <c r="U19" i="1"/>
  <c r="R19" i="1"/>
  <c r="Q19" i="1"/>
  <c r="P19" i="1"/>
  <c r="O19" i="1"/>
  <c r="N19" i="1"/>
  <c r="T19" i="1" s="1"/>
  <c r="M19" i="1"/>
  <c r="S19" i="1" s="1"/>
  <c r="X19" i="1" s="1"/>
  <c r="L19" i="1"/>
  <c r="K19" i="1"/>
  <c r="AA18" i="1"/>
  <c r="Z18" i="1"/>
  <c r="Y18" i="1"/>
  <c r="X18" i="1"/>
  <c r="W18" i="1"/>
  <c r="A18" i="1"/>
  <c r="U17" i="1"/>
  <c r="Y17" i="1" s="1"/>
  <c r="T17" i="1"/>
  <c r="S17" i="1"/>
  <c r="X17" i="1" s="1"/>
  <c r="Q17" i="1"/>
  <c r="Z17" i="1" s="1"/>
  <c r="A17" i="1"/>
  <c r="V16" i="1"/>
  <c r="U16" i="1"/>
  <c r="Y16" i="1" s="1"/>
  <c r="T16" i="1"/>
  <c r="S16" i="1"/>
  <c r="X16" i="1" s="1"/>
  <c r="R16" i="1"/>
  <c r="Q16" i="1"/>
  <c r="Z16" i="1" s="1"/>
  <c r="A16" i="1"/>
  <c r="Y15" i="1"/>
  <c r="AD17" i="1" s="1"/>
  <c r="V15" i="1"/>
  <c r="U15" i="1"/>
  <c r="R15" i="1"/>
  <c r="Q15" i="1"/>
  <c r="Z15" i="1" s="1"/>
  <c r="P15" i="1"/>
  <c r="O15" i="1"/>
  <c r="N15" i="1"/>
  <c r="T15" i="1" s="1"/>
  <c r="M15" i="1"/>
  <c r="S15" i="1" s="1"/>
  <c r="X15" i="1" s="1"/>
  <c r="L15" i="1"/>
  <c r="K15" i="1"/>
  <c r="Z14" i="1"/>
  <c r="Y14" i="1"/>
  <c r="W14" i="1"/>
  <c r="S14" i="1"/>
  <c r="X14" i="1" s="1"/>
  <c r="Q14" i="1"/>
  <c r="A14" i="1"/>
  <c r="V13" i="1"/>
  <c r="U13" i="1"/>
  <c r="S13" i="1"/>
  <c r="X13" i="1" s="1"/>
  <c r="Q13" i="1"/>
  <c r="AA13" i="1" s="1"/>
  <c r="A13" i="1"/>
  <c r="Z12" i="1"/>
  <c r="Y12" i="1"/>
  <c r="V12" i="1"/>
  <c r="U12" i="1"/>
  <c r="S12" i="1"/>
  <c r="X12" i="1" s="1"/>
  <c r="Q12" i="1"/>
  <c r="AA12" i="1" s="1"/>
  <c r="A12" i="1"/>
  <c r="X11" i="1"/>
  <c r="AC12" i="1" s="1"/>
  <c r="T11" i="1"/>
  <c r="S11" i="1"/>
  <c r="P11" i="1"/>
  <c r="V11" i="1" s="1"/>
  <c r="O11" i="1"/>
  <c r="U11" i="1" s="1"/>
  <c r="N11" i="1"/>
  <c r="M11" i="1"/>
  <c r="L11" i="1"/>
  <c r="R11" i="1" s="1"/>
  <c r="K11" i="1"/>
  <c r="Q11" i="1" s="1"/>
  <c r="AA11" i="1" s="1"/>
  <c r="AA10" i="1"/>
  <c r="Z10" i="1"/>
  <c r="Y10" i="1"/>
  <c r="X10" i="1"/>
  <c r="W10" i="1"/>
  <c r="A10" i="1"/>
  <c r="Y9" i="1"/>
  <c r="W9" i="1"/>
  <c r="T9" i="1"/>
  <c r="S9" i="1"/>
  <c r="A9" i="1"/>
  <c r="Y8" i="1"/>
  <c r="V8" i="1"/>
  <c r="U8" i="1"/>
  <c r="T8" i="1"/>
  <c r="S8" i="1"/>
  <c r="X8" i="1" s="1"/>
  <c r="R8" i="1"/>
  <c r="Q8" i="1"/>
  <c r="Z8" i="1" s="1"/>
  <c r="A8" i="1"/>
  <c r="V7" i="1"/>
  <c r="U7" i="1"/>
  <c r="Y7" i="1" s="1"/>
  <c r="T7" i="1"/>
  <c r="X7" i="1" s="1"/>
  <c r="S7" i="1"/>
  <c r="R7" i="1"/>
  <c r="Q7" i="1"/>
  <c r="A7" i="1"/>
  <c r="X6" i="1"/>
  <c r="V6" i="1"/>
  <c r="U6" i="1"/>
  <c r="Y6" i="1" s="1"/>
  <c r="T6" i="1"/>
  <c r="S6" i="1"/>
  <c r="R6" i="1"/>
  <c r="Q6" i="1"/>
  <c r="A6" i="1"/>
  <c r="Y5" i="1"/>
  <c r="V5" i="1"/>
  <c r="U5" i="1"/>
  <c r="T5" i="1"/>
  <c r="X5" i="1" s="1"/>
  <c r="S5" i="1"/>
  <c r="R5" i="1"/>
  <c r="Q5" i="1"/>
  <c r="AL2" i="1"/>
  <c r="AJ2" i="1"/>
  <c r="AC10" i="1" l="1"/>
  <c r="AC7" i="1"/>
  <c r="AD18" i="2"/>
  <c r="AD19" i="4"/>
  <c r="AD7" i="4"/>
  <c r="AA21" i="1"/>
  <c r="W21" i="1"/>
  <c r="Z21" i="1"/>
  <c r="AA22" i="1"/>
  <c r="W22" i="1"/>
  <c r="Z22" i="1"/>
  <c r="AC25" i="1"/>
  <c r="AD10" i="1"/>
  <c r="AD7" i="1"/>
  <c r="W13" i="1"/>
  <c r="W17" i="1"/>
  <c r="AA19" i="1"/>
  <c r="W19" i="1"/>
  <c r="AC7" i="2"/>
  <c r="AB10" i="2"/>
  <c r="X10" i="2"/>
  <c r="X16" i="2"/>
  <c r="AB20" i="2"/>
  <c r="AC8" i="3"/>
  <c r="Y13" i="3"/>
  <c r="AD14" i="3" s="1"/>
  <c r="Y18" i="3"/>
  <c r="AA18" i="3"/>
  <c r="AB6" i="5"/>
  <c r="X6" i="5"/>
  <c r="AA6" i="5"/>
  <c r="AA15" i="5"/>
  <c r="X15" i="5"/>
  <c r="AA20" i="5"/>
  <c r="AB20" i="5"/>
  <c r="AL8" i="10"/>
  <c r="AK8" i="10"/>
  <c r="Z13" i="1"/>
  <c r="AA14" i="1"/>
  <c r="Z19" i="1"/>
  <c r="W24" i="1"/>
  <c r="AB25" i="1" s="1"/>
  <c r="W25" i="1"/>
  <c r="AA5" i="2"/>
  <c r="AB19" i="2"/>
  <c r="AB23" i="2"/>
  <c r="X23" i="2"/>
  <c r="AA23" i="2"/>
  <c r="AD27" i="2"/>
  <c r="AF27" i="2" s="1"/>
  <c r="AB27" i="2"/>
  <c r="X27" i="2"/>
  <c r="AA27" i="2"/>
  <c r="AB6" i="3"/>
  <c r="AB8" i="3"/>
  <c r="AA12" i="3"/>
  <c r="AB13" i="3"/>
  <c r="X13" i="3"/>
  <c r="AD19" i="3"/>
  <c r="AA25" i="3"/>
  <c r="Y12" i="4"/>
  <c r="AA12" i="4"/>
  <c r="AE15" i="5"/>
  <c r="AD7" i="5"/>
  <c r="AA11" i="5"/>
  <c r="X19" i="5"/>
  <c r="AA19" i="5"/>
  <c r="AC14" i="7"/>
  <c r="AC17" i="1"/>
  <c r="AA15" i="1"/>
  <c r="W15" i="1"/>
  <c r="AB7" i="2"/>
  <c r="X7" i="2"/>
  <c r="AA7" i="2"/>
  <c r="AD8" i="3"/>
  <c r="AB7" i="3"/>
  <c r="X7" i="3"/>
  <c r="AA7" i="3"/>
  <c r="AB9" i="3"/>
  <c r="X9" i="3"/>
  <c r="AB10" i="3"/>
  <c r="X10" i="3"/>
  <c r="AB11" i="3"/>
  <c r="X11" i="3"/>
  <c r="AC11" i="3" s="1"/>
  <c r="AA11" i="3"/>
  <c r="Y21" i="3"/>
  <c r="AB21" i="3"/>
  <c r="AA5" i="4"/>
  <c r="AB5" i="4"/>
  <c r="X20" i="5"/>
  <c r="AA5" i="1"/>
  <c r="W5" i="1"/>
  <c r="Z5" i="1"/>
  <c r="AA6" i="1"/>
  <c r="W6" i="1"/>
  <c r="Z6" i="1"/>
  <c r="AA8" i="1"/>
  <c r="W8" i="1"/>
  <c r="Y13" i="1"/>
  <c r="AA17" i="1"/>
  <c r="AA20" i="1"/>
  <c r="Z26" i="1"/>
  <c r="Z27" i="1"/>
  <c r="AA28" i="1"/>
  <c r="W28" i="1"/>
  <c r="Z5" i="2"/>
  <c r="AB13" i="2"/>
  <c r="AB22" i="2"/>
  <c r="X22" i="2"/>
  <c r="AA22" i="2"/>
  <c r="AB26" i="2"/>
  <c r="X26" i="2"/>
  <c r="AA26" i="2"/>
  <c r="AE27" i="2" s="1"/>
  <c r="AB29" i="2"/>
  <c r="AB30" i="2"/>
  <c r="X30" i="2"/>
  <c r="AA30" i="2"/>
  <c r="AA6" i="3"/>
  <c r="AE8" i="3"/>
  <c r="AE11" i="3"/>
  <c r="AA13" i="3"/>
  <c r="AB16" i="3"/>
  <c r="X16" i="3"/>
  <c r="AA16" i="3"/>
  <c r="AB18" i="3"/>
  <c r="AB20" i="3"/>
  <c r="X20" i="3"/>
  <c r="AA20" i="3"/>
  <c r="AB23" i="3"/>
  <c r="AB26" i="3"/>
  <c r="X27" i="3"/>
  <c r="AC28" i="3" s="1"/>
  <c r="AB27" i="3"/>
  <c r="AB28" i="3"/>
  <c r="AA31" i="3"/>
  <c r="AB31" i="3"/>
  <c r="Z31" i="3"/>
  <c r="Y6" i="4"/>
  <c r="Y9" i="4"/>
  <c r="AA11" i="4"/>
  <c r="Y18" i="4"/>
  <c r="AA18" i="4"/>
  <c r="AB18" i="4"/>
  <c r="AA8" i="5"/>
  <c r="Y8" i="5"/>
  <c r="Y18" i="5"/>
  <c r="AA18" i="5"/>
  <c r="AD13" i="7"/>
  <c r="AC13" i="7"/>
  <c r="A19" i="7"/>
  <c r="B18" i="7"/>
  <c r="AF17" i="7"/>
  <c r="AE17" i="7"/>
  <c r="AC17" i="7"/>
  <c r="M9" i="11"/>
  <c r="M7" i="11"/>
  <c r="M8" i="11"/>
  <c r="X19" i="3"/>
  <c r="AB19" i="3"/>
  <c r="AA19" i="3"/>
  <c r="AA7" i="1"/>
  <c r="W7" i="1"/>
  <c r="Z7" i="1"/>
  <c r="X9" i="1"/>
  <c r="AA9" i="1"/>
  <c r="Z9" i="1"/>
  <c r="Z11" i="1"/>
  <c r="Y11" i="1"/>
  <c r="AD12" i="1" s="1"/>
  <c r="W11" i="1"/>
  <c r="AB12" i="1" s="1"/>
  <c r="AA16" i="1"/>
  <c r="W16" i="1"/>
  <c r="AA24" i="1"/>
  <c r="AA25" i="1"/>
  <c r="AA26" i="1"/>
  <c r="AA27" i="1"/>
  <c r="AB8" i="2"/>
  <c r="X8" i="2"/>
  <c r="AA8" i="2"/>
  <c r="AB9" i="2"/>
  <c r="X9" i="2"/>
  <c r="AA10" i="2"/>
  <c r="AA13" i="2"/>
  <c r="AB15" i="2"/>
  <c r="X15" i="2"/>
  <c r="AA15" i="2"/>
  <c r="AB17" i="2"/>
  <c r="X17" i="2"/>
  <c r="AB18" i="2"/>
  <c r="X18" i="2"/>
  <c r="AA18" i="2"/>
  <c r="AA20" i="2"/>
  <c r="Y21" i="2"/>
  <c r="AB21" i="2"/>
  <c r="X21" i="2"/>
  <c r="AB24" i="2"/>
  <c r="X24" i="2"/>
  <c r="Z9" i="3"/>
  <c r="Z10" i="3"/>
  <c r="AD11" i="3"/>
  <c r="AA17" i="3"/>
  <c r="Z17" i="3"/>
  <c r="AE19" i="3" s="1"/>
  <c r="X17" i="3"/>
  <c r="AA23" i="3"/>
  <c r="N8" i="10"/>
  <c r="N9" i="10"/>
  <c r="AA24" i="3"/>
  <c r="AB29" i="3"/>
  <c r="AA30" i="3"/>
  <c r="AE7" i="4"/>
  <c r="AA6" i="4"/>
  <c r="AA9" i="4"/>
  <c r="AB11" i="4"/>
  <c r="X13" i="4"/>
  <c r="X19" i="4"/>
  <c r="AB19" i="4"/>
  <c r="AA19" i="4"/>
  <c r="AB20" i="4"/>
  <c r="X20" i="4"/>
  <c r="AA20" i="4"/>
  <c r="AB23" i="5"/>
  <c r="X23" i="5"/>
  <c r="AA23" i="5"/>
  <c r="W19" i="6"/>
  <c r="AC5" i="6"/>
  <c r="AB5" i="6"/>
  <c r="AF6" i="7"/>
  <c r="AL20" i="7"/>
  <c r="AC19" i="7"/>
  <c r="W12" i="1"/>
  <c r="Z20" i="1"/>
  <c r="X14" i="2"/>
  <c r="AA8" i="3"/>
  <c r="AA14" i="3"/>
  <c r="X15" i="3"/>
  <c r="X18" i="3"/>
  <c r="AB24" i="3"/>
  <c r="AA28" i="3"/>
  <c r="AB30" i="3"/>
  <c r="AA8" i="4"/>
  <c r="AB16" i="4"/>
  <c r="AB11" i="5"/>
  <c r="AA14" i="5"/>
  <c r="X14" i="5"/>
  <c r="Z20" i="5"/>
  <c r="AE23" i="5" s="1"/>
  <c r="Z21" i="5"/>
  <c r="AC8" i="6"/>
  <c r="AB8" i="6"/>
  <c r="AB10" i="6"/>
  <c r="AB12" i="6"/>
  <c r="AB17" i="6"/>
  <c r="AC17" i="6"/>
  <c r="AC19" i="6"/>
  <c r="Y19" i="6"/>
  <c r="AD11" i="7"/>
  <c r="AE11" i="7"/>
  <c r="AF11" i="7"/>
  <c r="AC11" i="7"/>
  <c r="B15" i="7"/>
  <c r="AE20" i="7"/>
  <c r="L21" i="11"/>
  <c r="L20" i="11"/>
  <c r="L19" i="11"/>
  <c r="W20" i="1"/>
  <c r="X13" i="2"/>
  <c r="AC13" i="2" s="1"/>
  <c r="X8" i="3"/>
  <c r="X14" i="3"/>
  <c r="AA21" i="3"/>
  <c r="AA26" i="3"/>
  <c r="AD28" i="3"/>
  <c r="AB10" i="4"/>
  <c r="AA10" i="4"/>
  <c r="AA13" i="4"/>
  <c r="AB14" i="4"/>
  <c r="AB15" i="4"/>
  <c r="AE19" i="4"/>
  <c r="AC7" i="5"/>
  <c r="AB8" i="5"/>
  <c r="AA9" i="5"/>
  <c r="AB14" i="5"/>
  <c r="AB18" i="5"/>
  <c r="AB21" i="5"/>
  <c r="AG26" i="5"/>
  <c r="AF26" i="5"/>
  <c r="AB6" i="6"/>
  <c r="W7" i="6"/>
  <c r="AB14" i="6"/>
  <c r="AC14" i="6"/>
  <c r="AC16" i="6"/>
  <c r="AB19" i="6"/>
  <c r="AE6" i="7"/>
  <c r="AE13" i="7"/>
  <c r="AE15" i="7"/>
  <c r="AC18" i="7"/>
  <c r="AH20" i="7"/>
  <c r="AK20" i="7" s="1"/>
  <c r="L9" i="10"/>
  <c r="L8" i="10"/>
  <c r="L7" i="10"/>
  <c r="M13" i="11"/>
  <c r="M20" i="11"/>
  <c r="M19" i="11"/>
  <c r="AA17" i="4"/>
  <c r="AB5" i="5"/>
  <c r="X5" i="5"/>
  <c r="AA5" i="5"/>
  <c r="AC7" i="6"/>
  <c r="AC9" i="6"/>
  <c r="AB9" i="6"/>
  <c r="AD7" i="7"/>
  <c r="AE7" i="7"/>
  <c r="AC7" i="7"/>
  <c r="AF10" i="7"/>
  <c r="AE10" i="7"/>
  <c r="L8" i="11"/>
  <c r="L9" i="11"/>
  <c r="L7" i="11"/>
  <c r="L13" i="11"/>
  <c r="P15" i="11"/>
  <c r="O15" i="11"/>
  <c r="X11" i="5"/>
  <c r="X18" i="5"/>
  <c r="X21" i="5"/>
  <c r="AB16" i="6"/>
  <c r="AB20" i="6"/>
  <c r="AJ8" i="7"/>
  <c r="AC6" i="7"/>
  <c r="AG8" i="7"/>
  <c r="AF13" i="2" l="1"/>
  <c r="AG13" i="2"/>
  <c r="AG11" i="3"/>
  <c r="AF11" i="3"/>
  <c r="O13" i="11"/>
  <c r="P13" i="11"/>
  <c r="AE12" i="1"/>
  <c r="AB7" i="1"/>
  <c r="AB10" i="1"/>
  <c r="AC14" i="3"/>
  <c r="AG27" i="2"/>
  <c r="P8" i="10"/>
  <c r="O8" i="10"/>
  <c r="B19" i="7"/>
  <c r="A20" i="7"/>
  <c r="B20" i="7" s="1"/>
  <c r="AG19" i="4"/>
  <c r="AF19" i="4"/>
  <c r="AB7" i="5"/>
  <c r="AC15" i="5"/>
  <c r="AK8" i="7"/>
  <c r="AL8" i="7"/>
  <c r="P9" i="11"/>
  <c r="O9" i="11"/>
  <c r="P19" i="11"/>
  <c r="O19" i="11"/>
  <c r="AA19" i="6"/>
  <c r="Z19" i="6"/>
  <c r="AG28" i="3"/>
  <c r="AF28" i="3"/>
  <c r="AE7" i="2"/>
  <c r="P21" i="11"/>
  <c r="O21" i="11"/>
  <c r="AF25" i="1"/>
  <c r="AE25" i="1"/>
  <c r="AF8" i="3"/>
  <c r="AG8" i="3"/>
  <c r="P7" i="11"/>
  <c r="O7" i="11"/>
  <c r="P8" i="11"/>
  <c r="O8" i="11"/>
  <c r="P7" i="10"/>
  <c r="O7" i="10"/>
  <c r="AA7" i="6"/>
  <c r="Z7" i="6"/>
  <c r="P20" i="11"/>
  <c r="O20" i="11"/>
  <c r="AC19" i="3"/>
  <c r="AE11" i="2"/>
  <c r="AD7" i="2"/>
  <c r="AG7" i="2" s="1"/>
  <c r="AC23" i="5"/>
  <c r="AB17" i="1"/>
  <c r="AF12" i="1" s="1"/>
  <c r="AB7" i="6"/>
  <c r="AC18" i="2"/>
  <c r="AF7" i="4"/>
  <c r="AG7" i="4"/>
  <c r="AF7" i="2" l="1"/>
  <c r="AF15" i="5"/>
  <c r="AG15" i="5"/>
  <c r="AG11" i="2"/>
  <c r="AF11" i="2"/>
  <c r="AE7" i="5"/>
  <c r="AF7" i="5"/>
  <c r="AF14" i="3"/>
  <c r="AG14" i="3"/>
  <c r="AG19" i="3"/>
  <c r="AF19" i="3"/>
  <c r="AL4" i="1"/>
  <c r="AM4" i="1"/>
  <c r="AF18" i="2"/>
  <c r="AG18" i="2"/>
  <c r="AF23" i="5"/>
  <c r="AG23" i="5"/>
  <c r="AK4" i="1"/>
  <c r="AJ4" i="1"/>
</calcChain>
</file>

<file path=xl/sharedStrings.xml><?xml version="1.0" encoding="utf-8"?>
<sst xmlns="http://schemas.openxmlformats.org/spreadsheetml/2006/main" count="611" uniqueCount="111">
  <si>
    <t>cryogel1</t>
  </si>
  <si>
    <t>cryogel2</t>
  </si>
  <si>
    <t>cryogel3</t>
  </si>
  <si>
    <t>time</t>
  </si>
  <si>
    <t xml:space="preserve">dilution </t>
  </si>
  <si>
    <t xml:space="preserve">Date </t>
  </si>
  <si>
    <t>Average of Abs.</t>
  </si>
  <si>
    <t>concentration mg/L</t>
  </si>
  <si>
    <t>average 1</t>
  </si>
  <si>
    <t>average 2</t>
  </si>
  <si>
    <t>average 3</t>
  </si>
  <si>
    <t>average total</t>
  </si>
  <si>
    <t>st dev</t>
  </si>
  <si>
    <t>26.06.17</t>
  </si>
  <si>
    <t>18-00</t>
  </si>
  <si>
    <t>14-30</t>
  </si>
  <si>
    <t>17-30</t>
  </si>
  <si>
    <t>15-30</t>
  </si>
  <si>
    <t>15-00</t>
  </si>
  <si>
    <t>ph 6.57</t>
  </si>
  <si>
    <t>01.07.17</t>
  </si>
  <si>
    <t>12-00</t>
  </si>
  <si>
    <t>100mg /L</t>
  </si>
  <si>
    <t>V 200ml  50mg/L Phenol</t>
  </si>
  <si>
    <t>20-00</t>
  </si>
  <si>
    <t>16-00</t>
  </si>
  <si>
    <t>14-45</t>
  </si>
  <si>
    <t>21-20</t>
  </si>
  <si>
    <t>21-30</t>
  </si>
  <si>
    <t>15-45</t>
  </si>
  <si>
    <t>200mg/L</t>
  </si>
  <si>
    <t>15-40</t>
  </si>
  <si>
    <t>12-40pm</t>
  </si>
  <si>
    <t>10-30pm</t>
  </si>
  <si>
    <t>300mg/L</t>
  </si>
  <si>
    <t>16-30</t>
  </si>
  <si>
    <t>11-30am</t>
  </si>
  <si>
    <t>PVAal 0.6% PEIal 0.6%</t>
  </si>
  <si>
    <t>20-30</t>
  </si>
  <si>
    <t>17-15pm</t>
  </si>
  <si>
    <t>MTT</t>
  </si>
  <si>
    <t>ph 6.5</t>
  </si>
  <si>
    <t>100mg/L</t>
  </si>
  <si>
    <t>2 peaces</t>
  </si>
  <si>
    <t>V 2CP in MSM 40mL 50mg/L</t>
  </si>
  <si>
    <t>PVAal 0.6% PEIal 0.6% in PBS</t>
  </si>
  <si>
    <t>PBS</t>
  </si>
  <si>
    <r>
      <t xml:space="preserve">V 40ml  50mg/L </t>
    </r>
    <r>
      <rPr>
        <b/>
        <sz val="11"/>
        <color rgb="FFFF0000"/>
        <rFont val="Calibri"/>
        <family val="2"/>
        <scheme val="minor"/>
      </rPr>
      <t>cresol</t>
    </r>
  </si>
  <si>
    <t>ph6.45</t>
  </si>
  <si>
    <t>19-00</t>
  </si>
  <si>
    <t>40ml m -cresol</t>
  </si>
  <si>
    <t>Rhodo</t>
  </si>
  <si>
    <t>V 40 ml 50 mg/L</t>
  </si>
  <si>
    <t>Rhodo 4CP</t>
  </si>
  <si>
    <t>after  activation in communication solution +37 C 1-2h</t>
  </si>
  <si>
    <t>50mg/L  100mL</t>
  </si>
  <si>
    <t>con.(mg/L)</t>
  </si>
  <si>
    <t xml:space="preserve">Abs.1 </t>
  </si>
  <si>
    <t>Abs2</t>
  </si>
  <si>
    <t xml:space="preserve">average </t>
  </si>
  <si>
    <t xml:space="preserve">Error= </t>
  </si>
  <si>
    <t xml:space="preserve">average-Abso1 </t>
  </si>
  <si>
    <t>= 0.142x - 0.3104</t>
  </si>
  <si>
    <t>standared curve 02 /05/2017 phenol with MSM</t>
  </si>
  <si>
    <t>cresol</t>
  </si>
  <si>
    <t>dry weight of cryogels</t>
  </si>
  <si>
    <t>V 200ml  50mg/L Phenol PVAal 0.6% PEIal 0.6%</t>
  </si>
  <si>
    <t>CBR-Rho</t>
  </si>
  <si>
    <t>CBR-Pse</t>
  </si>
  <si>
    <t>cresol 50mg/L</t>
  </si>
  <si>
    <t>cresol 100mg/L</t>
  </si>
  <si>
    <t xml:space="preserve">CBR-Acn </t>
  </si>
  <si>
    <t>Rho susp</t>
  </si>
  <si>
    <t>Pse susp</t>
  </si>
  <si>
    <t>Acn susp</t>
  </si>
  <si>
    <t>phenol 100mg/L</t>
  </si>
  <si>
    <t>0.0076 (0.0222*)</t>
  </si>
  <si>
    <t>0.0534(0.166)</t>
  </si>
  <si>
    <t>0.0478(0.156)</t>
  </si>
  <si>
    <t>cresol 50mg/L(V 40mL)</t>
  </si>
  <si>
    <t>Cryo-Rho</t>
  </si>
  <si>
    <t>Cryo-Pse</t>
  </si>
  <si>
    <t>phenol 50mg/L (40mL)</t>
  </si>
  <si>
    <t>-</t>
  </si>
  <si>
    <t>phenol 50mg/L(200ml)</t>
  </si>
  <si>
    <t>PEIal PVAal 0.6 0.6%</t>
  </si>
  <si>
    <t>non</t>
  </si>
  <si>
    <t>48h</t>
  </si>
  <si>
    <t>mg/L/h</t>
  </si>
  <si>
    <t>rhodo</t>
  </si>
  <si>
    <t>pse</t>
  </si>
  <si>
    <t>Rho</t>
  </si>
  <si>
    <t>Can</t>
  </si>
  <si>
    <t>Pse</t>
  </si>
  <si>
    <t>100mg/ phenol</t>
  </si>
  <si>
    <t>50mg/L m cresol</t>
  </si>
  <si>
    <t>9.8.17 20-00</t>
  </si>
  <si>
    <t>10.8.17 20-00</t>
  </si>
  <si>
    <t>14.8.17 14-00</t>
  </si>
  <si>
    <t>11.8.17 12.45</t>
  </si>
  <si>
    <t>18.08.17 22-00</t>
  </si>
  <si>
    <t>Acnineto 50mg/L  phenol  200mL</t>
  </si>
  <si>
    <t>50mg</t>
  </si>
  <si>
    <t>experiment series</t>
  </si>
  <si>
    <t>phospate buffer</t>
  </si>
  <si>
    <t>Phenol degradation in sterile conditions</t>
  </si>
  <si>
    <t>Acinetobacter Radioresistance</t>
  </si>
  <si>
    <t>Rhodococcus korensis</t>
  </si>
  <si>
    <t>Pseudomonas mendocina</t>
  </si>
  <si>
    <t>Acinetobacter Radioresistance 2CP adapt</t>
  </si>
  <si>
    <t>Pseudomonas  standart strain  PBS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</si>
</sst>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0" fillId="3" borderId="0" xfId="0" applyFill="1"/>
    <xf numFmtId="0" fontId="3" fillId="4" borderId="0" xfId="0" applyFont="1" applyFill="1"/>
    <xf numFmtId="0" fontId="3" fillId="3" borderId="0" xfId="0" applyFont="1" applyFill="1"/>
    <xf numFmtId="0" fontId="4" fillId="0" borderId="0" xfId="0" applyFont="1"/>
    <xf numFmtId="0" fontId="2" fillId="2" borderId="0" xfId="0" applyFont="1" applyFill="1"/>
    <xf numFmtId="0" fontId="2" fillId="3" borderId="0" xfId="0" applyFont="1" applyFill="1"/>
    <xf numFmtId="0" fontId="3" fillId="2" borderId="0" xfId="0" applyFont="1" applyFill="1"/>
    <xf numFmtId="0" fontId="5" fillId="0" borderId="0" xfId="0" applyFont="1"/>
    <xf numFmtId="0" fontId="6" fillId="5" borderId="1" xfId="0" applyFont="1" applyFill="1" applyBorder="1"/>
    <xf numFmtId="0" fontId="6" fillId="6" borderId="1" xfId="0" applyFont="1" applyFill="1" applyBorder="1"/>
    <xf numFmtId="0" fontId="6" fillId="2" borderId="1" xfId="0" applyFont="1" applyFill="1" applyBorder="1"/>
    <xf numFmtId="0" fontId="6" fillId="3" borderId="1" xfId="0" applyFont="1" applyFill="1" applyBorder="1"/>
    <xf numFmtId="0" fontId="6" fillId="7" borderId="2" xfId="0" applyFont="1" applyFill="1" applyBorder="1"/>
    <xf numFmtId="0" fontId="6" fillId="8" borderId="2" xfId="0" applyFont="1" applyFill="1" applyBorder="1"/>
    <xf numFmtId="0" fontId="6" fillId="5" borderId="3" xfId="0" applyFont="1" applyFill="1" applyBorder="1"/>
    <xf numFmtId="16" fontId="0" fillId="0" borderId="0" xfId="0" applyNumberFormat="1"/>
    <xf numFmtId="17" fontId="0" fillId="0" borderId="0" xfId="0" applyNumberFormat="1"/>
    <xf numFmtId="0" fontId="7" fillId="0" borderId="0" xfId="0" applyFont="1"/>
    <xf numFmtId="0" fontId="2" fillId="4" borderId="0" xfId="0" applyFont="1" applyFill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5" fillId="9" borderId="0" xfId="0" applyFont="1" applyFill="1"/>
    <xf numFmtId="164" fontId="0" fillId="0" borderId="0" xfId="0" applyNumberFormat="1"/>
    <xf numFmtId="164" fontId="0" fillId="9" borderId="0" xfId="0" applyNumberFormat="1" applyFill="1"/>
    <xf numFmtId="164" fontId="0" fillId="10" borderId="0" xfId="0" applyNumberFormat="1" applyFill="1"/>
    <xf numFmtId="0" fontId="0" fillId="10" borderId="0" xfId="0" applyFill="1"/>
    <xf numFmtId="0" fontId="8" fillId="0" borderId="0" xfId="0" applyFont="1"/>
    <xf numFmtId="0" fontId="9" fillId="0" borderId="0" xfId="0" applyFont="1"/>
    <xf numFmtId="165" fontId="0" fillId="9" borderId="0" xfId="0" applyNumberFormat="1" applyFill="1"/>
    <xf numFmtId="166" fontId="0" fillId="9" borderId="0" xfId="0" applyNumberFormat="1" applyFill="1"/>
    <xf numFmtId="0" fontId="0" fillId="4" borderId="0" xfId="0" applyFill="1"/>
    <xf numFmtId="164" fontId="0" fillId="4" borderId="0" xfId="0" applyNumberFormat="1" applyFill="1"/>
    <xf numFmtId="164" fontId="1" fillId="0" borderId="0" xfId="0" applyNumberFormat="1" applyFont="1"/>
    <xf numFmtId="164" fontId="1" fillId="9" borderId="0" xfId="0" applyNumberFormat="1" applyFont="1" applyFill="1"/>
    <xf numFmtId="17" fontId="1" fillId="0" borderId="0" xfId="0" applyNumberFormat="1" applyFont="1"/>
    <xf numFmtId="0" fontId="1" fillId="4" borderId="0" xfId="0" applyFont="1" applyFill="1"/>
    <xf numFmtId="0" fontId="1" fillId="3" borderId="0" xfId="0" applyFont="1" applyFill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2"/>
          <c:tx>
            <c:v>Pse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'48.1-3'!$AA$5:$AA$10</c:f>
                <c:numCache>
                  <c:formatCode>General</c:formatCode>
                  <c:ptCount val="6"/>
                  <c:pt idx="0">
                    <c:v>1.272876366033133</c:v>
                  </c:pt>
                  <c:pt idx="1">
                    <c:v>1.0131222612597195</c:v>
                  </c:pt>
                  <c:pt idx="2">
                    <c:v>2.8783497314409439</c:v>
                  </c:pt>
                  <c:pt idx="3">
                    <c:v>6.7175002710991514</c:v>
                  </c:pt>
                  <c:pt idx="4">
                    <c:v>2.9661791928617265</c:v>
                  </c:pt>
                  <c:pt idx="5">
                    <c:v>0</c:v>
                  </c:pt>
                </c:numCache>
              </c:numRef>
            </c:plus>
            <c:minus>
              <c:numRef>
                <c:f>'48.1-3'!$AA$5:$AA$10</c:f>
                <c:numCache>
                  <c:formatCode>General</c:formatCode>
                  <c:ptCount val="6"/>
                  <c:pt idx="0">
                    <c:v>1.272876366033133</c:v>
                  </c:pt>
                  <c:pt idx="1">
                    <c:v>1.0131222612597195</c:v>
                  </c:pt>
                  <c:pt idx="2">
                    <c:v>2.8783497314409439</c:v>
                  </c:pt>
                  <c:pt idx="3">
                    <c:v>6.7175002710991514</c:v>
                  </c:pt>
                  <c:pt idx="4">
                    <c:v>2.9661791928617265</c:v>
                  </c:pt>
                  <c:pt idx="5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'48.1-3'!$A$5:$A$10</c:f>
              <c:numCache>
                <c:formatCode>General</c:formatCode>
                <c:ptCount val="6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5">
                  <c:v>114</c:v>
                </c:pt>
              </c:numCache>
            </c:numRef>
          </c:xVal>
          <c:yVal>
            <c:numRef>
              <c:f>'48.1-3'!$Z$5:$Z$10</c:f>
              <c:numCache>
                <c:formatCode>0.0</c:formatCode>
                <c:ptCount val="6"/>
                <c:pt idx="0">
                  <c:v>60.038028169014098</c:v>
                </c:pt>
                <c:pt idx="1">
                  <c:v>45.343192488262922</c:v>
                </c:pt>
                <c:pt idx="2">
                  <c:v>32.056807511737091</c:v>
                </c:pt>
                <c:pt idx="3">
                  <c:v>13.793896713615025</c:v>
                </c:pt>
                <c:pt idx="4">
                  <c:v>2.1659154929577467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A3-45DE-86BC-9F33D9C27BF8}"/>
            </c:ext>
          </c:extLst>
        </c:ser>
        <c:ser>
          <c:idx val="1"/>
          <c:order val="1"/>
          <c:tx>
            <c:v>Acn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'49.1-3'!$AB$5:$AB$11</c:f>
                <c:numCache>
                  <c:formatCode>General</c:formatCode>
                  <c:ptCount val="7"/>
                  <c:pt idx="0">
                    <c:v>1.272876366033133</c:v>
                  </c:pt>
                  <c:pt idx="1">
                    <c:v>4.5046208284134446</c:v>
                  </c:pt>
                  <c:pt idx="2">
                    <c:v>3.6558498845861518</c:v>
                  </c:pt>
                  <c:pt idx="3">
                    <c:v>4.6830544669459186</c:v>
                  </c:pt>
                  <c:pt idx="4">
                    <c:v>2.5146532148287135</c:v>
                  </c:pt>
                  <c:pt idx="5">
                    <c:v>3.1745067162666394</c:v>
                  </c:pt>
                  <c:pt idx="6">
                    <c:v>1.6417141304101122</c:v>
                  </c:pt>
                </c:numCache>
              </c:numRef>
            </c:plus>
            <c:minus>
              <c:numRef>
                <c:f>'49.1-3'!$AB$5:$AB$11</c:f>
                <c:numCache>
                  <c:formatCode>General</c:formatCode>
                  <c:ptCount val="7"/>
                  <c:pt idx="0">
                    <c:v>1.272876366033133</c:v>
                  </c:pt>
                  <c:pt idx="1">
                    <c:v>4.5046208284134446</c:v>
                  </c:pt>
                  <c:pt idx="2">
                    <c:v>3.6558498845861518</c:v>
                  </c:pt>
                  <c:pt idx="3">
                    <c:v>4.6830544669459186</c:v>
                  </c:pt>
                  <c:pt idx="4">
                    <c:v>2.5146532148287135</c:v>
                  </c:pt>
                  <c:pt idx="5">
                    <c:v>3.1745067162666394</c:v>
                  </c:pt>
                  <c:pt idx="6">
                    <c:v>1.6417141304101122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'49.1-3'!$A$5:$A$11</c:f>
              <c:numCache>
                <c:formatCode>General</c:formatCode>
                <c:ptCount val="7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5">
                  <c:v>93.5</c:v>
                </c:pt>
                <c:pt idx="6">
                  <c:v>114</c:v>
                </c:pt>
              </c:numCache>
            </c:numRef>
          </c:xVal>
          <c:yVal>
            <c:numRef>
              <c:f>'49.1-3'!$AA$5:$AA$11</c:f>
              <c:numCache>
                <c:formatCode>0.0</c:formatCode>
                <c:ptCount val="7"/>
                <c:pt idx="0">
                  <c:v>60.038028169014098</c:v>
                </c:pt>
                <c:pt idx="1">
                  <c:v>50.988732394366203</c:v>
                </c:pt>
                <c:pt idx="2">
                  <c:v>43.676525821596243</c:v>
                </c:pt>
                <c:pt idx="3">
                  <c:v>36.07089201877934</c:v>
                </c:pt>
                <c:pt idx="4">
                  <c:v>7.7023474178403761</c:v>
                </c:pt>
                <c:pt idx="5">
                  <c:v>10.715258215962443</c:v>
                </c:pt>
                <c:pt idx="6">
                  <c:v>1.0596244131455401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A3-45DE-86BC-9F33D9C27BF8}"/>
            </c:ext>
          </c:extLst>
        </c:ser>
        <c:ser>
          <c:idx val="0"/>
          <c:order val="0"/>
          <c:tx>
            <c:v>Rho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'50.1'!$AB$6:$AB$12</c:f>
                <c:numCache>
                  <c:formatCode>General</c:formatCode>
                  <c:ptCount val="6"/>
                  <c:pt idx="0">
                    <c:v>1.272876366033133</c:v>
                  </c:pt>
                  <c:pt idx="1">
                    <c:v>1.7396884499614618</c:v>
                  </c:pt>
                  <c:pt idx="2">
                    <c:v>1.4115576061059001</c:v>
                  </c:pt>
                  <c:pt idx="3">
                    <c:v>2.6662781572440264</c:v>
                  </c:pt>
                  <c:pt idx="4">
                    <c:v>0.80755950289997491</c:v>
                  </c:pt>
                  <c:pt idx="5">
                    <c:v>0.15298070016862425</c:v>
                  </c:pt>
                </c:numCache>
              </c:numRef>
            </c:plus>
            <c:minus>
              <c:numRef>
                <c:f>'50.1'!$AB$6:$AB$12</c:f>
                <c:numCache>
                  <c:formatCode>General</c:formatCode>
                  <c:ptCount val="6"/>
                  <c:pt idx="0">
                    <c:v>1.272876366033133</c:v>
                  </c:pt>
                  <c:pt idx="1">
                    <c:v>1.7396884499614618</c:v>
                  </c:pt>
                  <c:pt idx="2">
                    <c:v>1.4115576061059001</c:v>
                  </c:pt>
                  <c:pt idx="3">
                    <c:v>2.6662781572440264</c:v>
                  </c:pt>
                  <c:pt idx="4">
                    <c:v>0.80755950289997491</c:v>
                  </c:pt>
                  <c:pt idx="5">
                    <c:v>0.15298070016862425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'50.1'!$B$6:$B$12</c:f>
              <c:numCache>
                <c:formatCode>General</c:formatCode>
                <c:ptCount val="6"/>
                <c:pt idx="0">
                  <c:v>0</c:v>
                </c:pt>
                <c:pt idx="1">
                  <c:v>27</c:v>
                </c:pt>
                <c:pt idx="2">
                  <c:v>49</c:v>
                </c:pt>
                <c:pt idx="3">
                  <c:v>72.5</c:v>
                </c:pt>
                <c:pt idx="4">
                  <c:v>117.5</c:v>
                </c:pt>
                <c:pt idx="5">
                  <c:v>125.5</c:v>
                </c:pt>
              </c:numCache>
            </c:numRef>
          </c:xVal>
          <c:yVal>
            <c:numRef>
              <c:f>'50.1'!$AA$6:$AA$12</c:f>
              <c:numCache>
                <c:formatCode>0.0</c:formatCode>
                <c:ptCount val="6"/>
                <c:pt idx="0">
                  <c:v>60.038028169014098</c:v>
                </c:pt>
                <c:pt idx="1">
                  <c:v>54.627230046948348</c:v>
                </c:pt>
                <c:pt idx="2">
                  <c:v>55.554460093896715</c:v>
                </c:pt>
                <c:pt idx="3">
                  <c:v>29.25164319248827</c:v>
                </c:pt>
                <c:pt idx="4">
                  <c:v>4.9676056338028181</c:v>
                </c:pt>
                <c:pt idx="5">
                  <c:v>2.5415492957746482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BA3-45DE-86BC-9F33D9C27B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63712"/>
        <c:axId val="43374080"/>
      </c:scatterChart>
      <c:valAx>
        <c:axId val="43363712"/>
        <c:scaling>
          <c:orientation val="minMax"/>
          <c:max val="14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3374080"/>
        <c:crosses val="autoZero"/>
        <c:crossBetween val="midCat"/>
        <c:majorUnit val="20"/>
      </c:valAx>
      <c:valAx>
        <c:axId val="43374080"/>
        <c:scaling>
          <c:orientation val="minMax"/>
          <c:max val="7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phenol concentration, mg/L</a:t>
                </a:r>
              </a:p>
            </c:rich>
          </c:tx>
          <c:layout>
            <c:manualLayout>
              <c:xMode val="edge"/>
              <c:yMode val="edge"/>
              <c:x val="1.3654208716868139E-2"/>
              <c:y val="0.15119034240761153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crossAx val="433637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'49.1-3'!$AB$21:$AB$25</c:f>
                <c:numCache>
                  <c:formatCode>General</c:formatCode>
                  <c:ptCount val="5"/>
                  <c:pt idx="0">
                    <c:v>2.931472842985372</c:v>
                  </c:pt>
                  <c:pt idx="1">
                    <c:v>2.749186098020163</c:v>
                  </c:pt>
                  <c:pt idx="2">
                    <c:v>8.5950120013478095</c:v>
                  </c:pt>
                  <c:pt idx="3">
                    <c:v>16.320735222452914</c:v>
                  </c:pt>
                  <c:pt idx="4">
                    <c:v>11.086637588969927</c:v>
                  </c:pt>
                </c:numCache>
              </c:numRef>
            </c:plus>
            <c:minus>
              <c:numRef>
                <c:f>'49.1-3'!$AB$21:$AB$25</c:f>
                <c:numCache>
                  <c:formatCode>General</c:formatCode>
                  <c:ptCount val="5"/>
                  <c:pt idx="0">
                    <c:v>2.931472842985372</c:v>
                  </c:pt>
                  <c:pt idx="1">
                    <c:v>2.749186098020163</c:v>
                  </c:pt>
                  <c:pt idx="2">
                    <c:v>8.5950120013478095</c:v>
                  </c:pt>
                  <c:pt idx="3">
                    <c:v>16.320735222452914</c:v>
                  </c:pt>
                  <c:pt idx="4">
                    <c:v>11.086637588969927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'49.1-3'!$A$21:$A$25</c:f>
              <c:numCache>
                <c:formatCode>General</c:formatCode>
                <c:ptCount val="5"/>
                <c:pt idx="0">
                  <c:v>0</c:v>
                </c:pt>
                <c:pt idx="1">
                  <c:v>19.7</c:v>
                </c:pt>
                <c:pt idx="2">
                  <c:v>64.7</c:v>
                </c:pt>
                <c:pt idx="3">
                  <c:v>110.7</c:v>
                </c:pt>
                <c:pt idx="4">
                  <c:v>140</c:v>
                </c:pt>
              </c:numCache>
            </c:numRef>
          </c:xVal>
          <c:yVal>
            <c:numRef>
              <c:f>'49.1-3'!$AA$21:$AA$25</c:f>
              <c:numCache>
                <c:formatCode>0.0</c:formatCode>
                <c:ptCount val="5"/>
                <c:pt idx="0">
                  <c:v>196.12957746478878</c:v>
                </c:pt>
                <c:pt idx="1">
                  <c:v>140.8478873239437</c:v>
                </c:pt>
                <c:pt idx="2">
                  <c:v>83.030985915492963</c:v>
                </c:pt>
                <c:pt idx="3">
                  <c:v>13.71079812206573</c:v>
                </c:pt>
                <c:pt idx="4">
                  <c:v>7.8394366197183105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FD-4035-94D5-98AB222781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71264"/>
        <c:axId val="42573184"/>
      </c:scatterChart>
      <c:valAx>
        <c:axId val="4257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</a:t>
                </a:r>
                <a:r>
                  <a:rPr lang="en-GB" baseline="0"/>
                  <a:t> h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2573184"/>
        <c:crosses val="autoZero"/>
        <c:crossBetween val="midCat"/>
      </c:valAx>
      <c:valAx>
        <c:axId val="425731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phenol concentration, mg/L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425712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'49.1-3'!$AB$26:$AB$30</c:f>
                <c:numCache>
                  <c:formatCode>General</c:formatCode>
                  <c:ptCount val="5"/>
                  <c:pt idx="0">
                    <c:v>4.8790163593489257</c:v>
                  </c:pt>
                  <c:pt idx="1">
                    <c:v>5.041650237993883</c:v>
                  </c:pt>
                  <c:pt idx="2">
                    <c:v>16.044802709166152</c:v>
                  </c:pt>
                  <c:pt idx="3">
                    <c:v>2.5559920354584378</c:v>
                  </c:pt>
                  <c:pt idx="4">
                    <c:v>1.5534728155968884</c:v>
                  </c:pt>
                </c:numCache>
              </c:numRef>
            </c:plus>
            <c:minus>
              <c:numRef>
                <c:f>'49.1-3'!$AB$26:$AB$30</c:f>
                <c:numCache>
                  <c:formatCode>General</c:formatCode>
                  <c:ptCount val="5"/>
                  <c:pt idx="0">
                    <c:v>4.8790163593489257</c:v>
                  </c:pt>
                  <c:pt idx="1">
                    <c:v>5.041650237993883</c:v>
                  </c:pt>
                  <c:pt idx="2">
                    <c:v>16.044802709166152</c:v>
                  </c:pt>
                  <c:pt idx="3">
                    <c:v>2.5559920354584378</c:v>
                  </c:pt>
                  <c:pt idx="4">
                    <c:v>1.5534728155968884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'49.1-3'!$A$26:$A$30</c:f>
              <c:numCache>
                <c:formatCode>General</c:formatCode>
                <c:ptCount val="5"/>
                <c:pt idx="0">
                  <c:v>0</c:v>
                </c:pt>
                <c:pt idx="1">
                  <c:v>23.5</c:v>
                </c:pt>
                <c:pt idx="2">
                  <c:v>90.5</c:v>
                </c:pt>
                <c:pt idx="3">
                  <c:v>114.5</c:v>
                </c:pt>
                <c:pt idx="4">
                  <c:v>168</c:v>
                </c:pt>
              </c:numCache>
            </c:numRef>
          </c:xVal>
          <c:yVal>
            <c:numRef>
              <c:f>'49.1-3'!$AA$26:$AA$30</c:f>
              <c:numCache>
                <c:formatCode>0.0</c:formatCode>
                <c:ptCount val="5"/>
                <c:pt idx="0">
                  <c:v>279.087323943662</c:v>
                </c:pt>
                <c:pt idx="1">
                  <c:v>262.37370892018788</c:v>
                </c:pt>
                <c:pt idx="2">
                  <c:v>105.75399061032864</c:v>
                </c:pt>
                <c:pt idx="3">
                  <c:v>78.899530516431923</c:v>
                </c:pt>
                <c:pt idx="4">
                  <c:v>4.3502347417840381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94-4FAA-81D3-5DE04E945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11072"/>
        <c:axId val="42612992"/>
      </c:scatterChart>
      <c:valAx>
        <c:axId val="4261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</a:t>
                </a:r>
                <a:r>
                  <a:rPr lang="en-GB" baseline="0"/>
                  <a:t> h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2612992"/>
        <c:crosses val="autoZero"/>
        <c:crossBetween val="midCat"/>
      </c:valAx>
      <c:valAx>
        <c:axId val="426129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phenol concentration, mg/L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426110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tx>
            <c:v>1st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'49.1-3'!$AB$5:$AB$11</c:f>
                <c:numCache>
                  <c:formatCode>General</c:formatCode>
                  <c:ptCount val="7"/>
                  <c:pt idx="0">
                    <c:v>1.272876366033133</c:v>
                  </c:pt>
                  <c:pt idx="1">
                    <c:v>4.5046208284134446</c:v>
                  </c:pt>
                  <c:pt idx="2">
                    <c:v>3.6558498845861518</c:v>
                  </c:pt>
                  <c:pt idx="3">
                    <c:v>4.6830544669459186</c:v>
                  </c:pt>
                  <c:pt idx="4">
                    <c:v>2.5146532148287135</c:v>
                  </c:pt>
                  <c:pt idx="5">
                    <c:v>3.1745067162666394</c:v>
                  </c:pt>
                  <c:pt idx="6">
                    <c:v>1.6417141304101122</c:v>
                  </c:pt>
                </c:numCache>
              </c:numRef>
            </c:plus>
            <c:minus>
              <c:numRef>
                <c:f>'49.1-3'!$AB$5:$AB$11</c:f>
                <c:numCache>
                  <c:formatCode>General</c:formatCode>
                  <c:ptCount val="7"/>
                  <c:pt idx="0">
                    <c:v>1.272876366033133</c:v>
                  </c:pt>
                  <c:pt idx="1">
                    <c:v>4.5046208284134446</c:v>
                  </c:pt>
                  <c:pt idx="2">
                    <c:v>3.6558498845861518</c:v>
                  </c:pt>
                  <c:pt idx="3">
                    <c:v>4.6830544669459186</c:v>
                  </c:pt>
                  <c:pt idx="4">
                    <c:v>2.5146532148287135</c:v>
                  </c:pt>
                  <c:pt idx="5">
                    <c:v>3.1745067162666394</c:v>
                  </c:pt>
                  <c:pt idx="6">
                    <c:v>1.6417141304101122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'49.1-3'!$A$5:$A$11</c:f>
              <c:numCache>
                <c:formatCode>General</c:formatCode>
                <c:ptCount val="7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5">
                  <c:v>93.5</c:v>
                </c:pt>
                <c:pt idx="6">
                  <c:v>114</c:v>
                </c:pt>
              </c:numCache>
            </c:numRef>
          </c:xVal>
          <c:yVal>
            <c:numRef>
              <c:f>'49.1-3'!$AA$5:$AA$11</c:f>
              <c:numCache>
                <c:formatCode>0.0</c:formatCode>
                <c:ptCount val="7"/>
                <c:pt idx="0">
                  <c:v>60.038028169014098</c:v>
                </c:pt>
                <c:pt idx="1">
                  <c:v>50.988732394366203</c:v>
                </c:pt>
                <c:pt idx="2">
                  <c:v>43.676525821596243</c:v>
                </c:pt>
                <c:pt idx="3">
                  <c:v>36.07089201877934</c:v>
                </c:pt>
                <c:pt idx="4">
                  <c:v>7.7023474178403761</c:v>
                </c:pt>
                <c:pt idx="5">
                  <c:v>10.715258215962443</c:v>
                </c:pt>
                <c:pt idx="6">
                  <c:v>1.0596244131455401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9D-45A3-8439-086F43CB9133}"/>
            </c:ext>
          </c:extLst>
        </c:ser>
        <c:ser>
          <c:idx val="2"/>
          <c:order val="2"/>
          <c:tx>
            <c:v>2nd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'49.1-3'!$AB$12:$AB$15</c:f>
                <c:numCache>
                  <c:formatCode>General</c:formatCode>
                  <c:ptCount val="4"/>
                  <c:pt idx="0">
                    <c:v>1.272876366033133</c:v>
                  </c:pt>
                  <c:pt idx="1">
                    <c:v>3.5358261253834171</c:v>
                  </c:pt>
                  <c:pt idx="2">
                    <c:v>0.29343896690141807</c:v>
                  </c:pt>
                  <c:pt idx="3">
                    <c:v>0.16640195867086655</c:v>
                  </c:pt>
                </c:numCache>
              </c:numRef>
            </c:plus>
            <c:minus>
              <c:numRef>
                <c:f>'49.1-3'!$AB$12:$AB$15</c:f>
                <c:numCache>
                  <c:formatCode>General</c:formatCode>
                  <c:ptCount val="4"/>
                  <c:pt idx="0">
                    <c:v>1.272876366033133</c:v>
                  </c:pt>
                  <c:pt idx="1">
                    <c:v>3.5358261253834171</c:v>
                  </c:pt>
                  <c:pt idx="2">
                    <c:v>0.29343896690141807</c:v>
                  </c:pt>
                  <c:pt idx="3">
                    <c:v>0.16640195867086655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'49.1-3'!$A$12:$A$15</c:f>
              <c:numCache>
                <c:formatCode>General</c:formatCode>
                <c:ptCount val="4"/>
                <c:pt idx="0">
                  <c:v>0</c:v>
                </c:pt>
                <c:pt idx="1">
                  <c:v>44</c:v>
                </c:pt>
                <c:pt idx="2">
                  <c:v>66.75</c:v>
                </c:pt>
                <c:pt idx="3">
                  <c:v>73.5</c:v>
                </c:pt>
              </c:numCache>
            </c:numRef>
          </c:xVal>
          <c:yVal>
            <c:numRef>
              <c:f>'49.1-3'!$AA$12:$AA$15</c:f>
              <c:numCache>
                <c:formatCode>0.0</c:formatCode>
                <c:ptCount val="4"/>
                <c:pt idx="0">
                  <c:v>60.038028169014098</c:v>
                </c:pt>
                <c:pt idx="1">
                  <c:v>26.710563380281691</c:v>
                </c:pt>
                <c:pt idx="2">
                  <c:v>3.8742957746478877</c:v>
                </c:pt>
                <c:pt idx="3">
                  <c:v>2.6319248826291086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9D-45A3-8439-086F43CB9133}"/>
            </c:ext>
          </c:extLst>
        </c:ser>
        <c:ser>
          <c:idx val="3"/>
          <c:order val="3"/>
          <c:tx>
            <c:v>3rd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'49.1-3'!$AB$16:$AB$20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3.8541784506504668</c:v>
                  </c:pt>
                  <c:pt idx="2">
                    <c:v>10.982378749347284</c:v>
                  </c:pt>
                  <c:pt idx="3">
                    <c:v>5.7021688172477667</c:v>
                  </c:pt>
                  <c:pt idx="4">
                    <c:v>4.4368670472829699</c:v>
                  </c:pt>
                </c:numCache>
              </c:numRef>
            </c:plus>
            <c:minus>
              <c:numRef>
                <c:f>'49.1-3'!$AB$16:$AB$20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3.8541784506504668</c:v>
                  </c:pt>
                  <c:pt idx="2">
                    <c:v>10.982378749347284</c:v>
                  </c:pt>
                  <c:pt idx="3">
                    <c:v>5.7021688172477667</c:v>
                  </c:pt>
                  <c:pt idx="4">
                    <c:v>4.4368670472829699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'49.1-3'!$A$16:$A$20</c:f>
              <c:numCache>
                <c:formatCode>General</c:formatCode>
                <c:ptCount val="5"/>
                <c:pt idx="0">
                  <c:v>0</c:v>
                </c:pt>
                <c:pt idx="1">
                  <c:v>17.5</c:v>
                </c:pt>
                <c:pt idx="2">
                  <c:v>44.5</c:v>
                </c:pt>
                <c:pt idx="3">
                  <c:v>66</c:v>
                </c:pt>
                <c:pt idx="4">
                  <c:v>70.5</c:v>
                </c:pt>
              </c:numCache>
            </c:numRef>
          </c:xVal>
          <c:yVal>
            <c:numRef>
              <c:f>'49.1-3'!$AA$16:$AA$20</c:f>
              <c:numCache>
                <c:formatCode>0.0</c:formatCode>
                <c:ptCount val="5"/>
                <c:pt idx="0">
                  <c:v>113.73521126760566</c:v>
                </c:pt>
                <c:pt idx="1">
                  <c:v>81.312676056338034</c:v>
                </c:pt>
                <c:pt idx="2">
                  <c:v>30.965258215962447</c:v>
                </c:pt>
                <c:pt idx="3">
                  <c:v>6.8619718309859152</c:v>
                </c:pt>
                <c:pt idx="4">
                  <c:v>3.7671361502347422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9D-45A3-8439-086F43CB9133}"/>
            </c:ext>
          </c:extLst>
        </c:ser>
        <c:ser>
          <c:idx val="4"/>
          <c:order val="4"/>
          <c:tx>
            <c:v>4th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'49.1-3'!$AB$21:$AB$25</c:f>
                <c:numCache>
                  <c:formatCode>General</c:formatCode>
                  <c:ptCount val="5"/>
                  <c:pt idx="0">
                    <c:v>2.931472842985372</c:v>
                  </c:pt>
                  <c:pt idx="1">
                    <c:v>2.749186098020163</c:v>
                  </c:pt>
                  <c:pt idx="2">
                    <c:v>8.5950120013478095</c:v>
                  </c:pt>
                  <c:pt idx="3">
                    <c:v>16.320735222452914</c:v>
                  </c:pt>
                  <c:pt idx="4">
                    <c:v>11.086637588969927</c:v>
                  </c:pt>
                </c:numCache>
              </c:numRef>
            </c:plus>
            <c:minus>
              <c:numRef>
                <c:f>'49.1-3'!$AB$21:$AB$25</c:f>
                <c:numCache>
                  <c:formatCode>General</c:formatCode>
                  <c:ptCount val="5"/>
                  <c:pt idx="0">
                    <c:v>2.931472842985372</c:v>
                  </c:pt>
                  <c:pt idx="1">
                    <c:v>2.749186098020163</c:v>
                  </c:pt>
                  <c:pt idx="2">
                    <c:v>8.5950120013478095</c:v>
                  </c:pt>
                  <c:pt idx="3">
                    <c:v>16.320735222452914</c:v>
                  </c:pt>
                  <c:pt idx="4">
                    <c:v>11.086637588969927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'49.1-3'!$A$21:$A$25</c:f>
              <c:numCache>
                <c:formatCode>General</c:formatCode>
                <c:ptCount val="5"/>
                <c:pt idx="0">
                  <c:v>0</c:v>
                </c:pt>
                <c:pt idx="1">
                  <c:v>19.7</c:v>
                </c:pt>
                <c:pt idx="2">
                  <c:v>64.7</c:v>
                </c:pt>
                <c:pt idx="3">
                  <c:v>110.7</c:v>
                </c:pt>
                <c:pt idx="4">
                  <c:v>140</c:v>
                </c:pt>
              </c:numCache>
            </c:numRef>
          </c:xVal>
          <c:yVal>
            <c:numRef>
              <c:f>'49.1-3'!$AA$21:$AA$25</c:f>
              <c:numCache>
                <c:formatCode>0.0</c:formatCode>
                <c:ptCount val="5"/>
                <c:pt idx="0">
                  <c:v>196.12957746478878</c:v>
                </c:pt>
                <c:pt idx="1">
                  <c:v>140.8478873239437</c:v>
                </c:pt>
                <c:pt idx="2">
                  <c:v>83.030985915492963</c:v>
                </c:pt>
                <c:pt idx="3">
                  <c:v>13.71079812206573</c:v>
                </c:pt>
                <c:pt idx="4">
                  <c:v>7.8394366197183105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9D-45A3-8439-086F43CB9133}"/>
            </c:ext>
          </c:extLst>
        </c:ser>
        <c:ser>
          <c:idx val="0"/>
          <c:order val="0"/>
          <c:tx>
            <c:v>5th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'49.1-3'!$AB$26:$AB$30</c:f>
                <c:numCache>
                  <c:formatCode>General</c:formatCode>
                  <c:ptCount val="5"/>
                  <c:pt idx="0">
                    <c:v>4.8790163593489257</c:v>
                  </c:pt>
                  <c:pt idx="1">
                    <c:v>5.041650237993883</c:v>
                  </c:pt>
                  <c:pt idx="2">
                    <c:v>16.044802709166152</c:v>
                  </c:pt>
                  <c:pt idx="3">
                    <c:v>2.5559920354584378</c:v>
                  </c:pt>
                  <c:pt idx="4">
                    <c:v>1.5534728155968884</c:v>
                  </c:pt>
                </c:numCache>
              </c:numRef>
            </c:plus>
            <c:minus>
              <c:numRef>
                <c:f>'49.1-3'!$AB$26:$AB$30</c:f>
                <c:numCache>
                  <c:formatCode>General</c:formatCode>
                  <c:ptCount val="5"/>
                  <c:pt idx="0">
                    <c:v>4.8790163593489257</c:v>
                  </c:pt>
                  <c:pt idx="1">
                    <c:v>5.041650237993883</c:v>
                  </c:pt>
                  <c:pt idx="2">
                    <c:v>16.044802709166152</c:v>
                  </c:pt>
                  <c:pt idx="3">
                    <c:v>2.5559920354584378</c:v>
                  </c:pt>
                  <c:pt idx="4">
                    <c:v>1.5534728155968884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'49.1-3'!$A$26:$A$30</c:f>
              <c:numCache>
                <c:formatCode>General</c:formatCode>
                <c:ptCount val="5"/>
                <c:pt idx="0">
                  <c:v>0</c:v>
                </c:pt>
                <c:pt idx="1">
                  <c:v>23.5</c:v>
                </c:pt>
                <c:pt idx="2">
                  <c:v>90.5</c:v>
                </c:pt>
                <c:pt idx="3">
                  <c:v>114.5</c:v>
                </c:pt>
                <c:pt idx="4">
                  <c:v>168</c:v>
                </c:pt>
              </c:numCache>
            </c:numRef>
          </c:xVal>
          <c:yVal>
            <c:numRef>
              <c:f>'49.1-3'!$AA$26:$AA$30</c:f>
              <c:numCache>
                <c:formatCode>0.0</c:formatCode>
                <c:ptCount val="5"/>
                <c:pt idx="0">
                  <c:v>279.087323943662</c:v>
                </c:pt>
                <c:pt idx="1">
                  <c:v>262.37370892018788</c:v>
                </c:pt>
                <c:pt idx="2">
                  <c:v>105.75399061032864</c:v>
                </c:pt>
                <c:pt idx="3">
                  <c:v>78.899530516431923</c:v>
                </c:pt>
                <c:pt idx="4">
                  <c:v>4.3502347417840381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9D-45A3-8439-086F43CB91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77760"/>
        <c:axId val="42679680"/>
      </c:scatterChart>
      <c:valAx>
        <c:axId val="42677760"/>
        <c:scaling>
          <c:orientation val="minMax"/>
          <c:max val="17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</a:t>
                </a:r>
                <a:r>
                  <a:rPr lang="en-GB" baseline="0"/>
                  <a:t> h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2679680"/>
        <c:crosses val="autoZero"/>
        <c:crossBetween val="midCat"/>
        <c:majorUnit val="25"/>
      </c:valAx>
      <c:valAx>
        <c:axId val="42679680"/>
        <c:scaling>
          <c:orientation val="minMax"/>
          <c:max val="3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phenol concentration, mg/L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426777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1"/>
          <c:tx>
            <c:v>Rhodo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'50.1'!$AB$27:$AB$31</c:f>
                <c:numCache>
                  <c:formatCode>General</c:formatCode>
                  <c:ptCount val="5"/>
                  <c:pt idx="0">
                    <c:v>1.0156482466095835</c:v>
                  </c:pt>
                  <c:pt idx="1">
                    <c:v>1.6017579445288614</c:v>
                  </c:pt>
                  <c:pt idx="2">
                    <c:v>21.553131083413014</c:v>
                  </c:pt>
                  <c:pt idx="3">
                    <c:v>7.0722366413710978</c:v>
                  </c:pt>
                  <c:pt idx="4">
                    <c:v>3.9536295898591001</c:v>
                  </c:pt>
                </c:numCache>
              </c:numRef>
            </c:plus>
            <c:minus>
              <c:numRef>
                <c:f>'50.1'!$AB$27:$AB$31</c:f>
                <c:numCache>
                  <c:formatCode>General</c:formatCode>
                  <c:ptCount val="5"/>
                  <c:pt idx="0">
                    <c:v>1.0156482466095835</c:v>
                  </c:pt>
                  <c:pt idx="1">
                    <c:v>1.6017579445288614</c:v>
                  </c:pt>
                  <c:pt idx="2">
                    <c:v>21.553131083413014</c:v>
                  </c:pt>
                  <c:pt idx="3">
                    <c:v>7.0722366413710978</c:v>
                  </c:pt>
                  <c:pt idx="4">
                    <c:v>3.9536295898591001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'50.1'!$A$27:$A$31</c:f>
              <c:numCache>
                <c:formatCode>General</c:formatCode>
                <c:ptCount val="5"/>
                <c:pt idx="0">
                  <c:v>0</c:v>
                </c:pt>
                <c:pt idx="1">
                  <c:v>23.5</c:v>
                </c:pt>
                <c:pt idx="2">
                  <c:v>90.5</c:v>
                </c:pt>
                <c:pt idx="3">
                  <c:v>114.5</c:v>
                </c:pt>
                <c:pt idx="4">
                  <c:v>168</c:v>
                </c:pt>
              </c:numCache>
            </c:numRef>
          </c:xVal>
          <c:yVal>
            <c:numRef>
              <c:f>'50.1'!$AA$27:$AA$31</c:f>
              <c:numCache>
                <c:formatCode>0.0</c:formatCode>
                <c:ptCount val="5"/>
                <c:pt idx="0">
                  <c:v>277.67887323943665</c:v>
                </c:pt>
                <c:pt idx="1">
                  <c:v>259.83849765258219</c:v>
                </c:pt>
                <c:pt idx="2">
                  <c:v>134.3924882629108</c:v>
                </c:pt>
                <c:pt idx="3">
                  <c:v>105.19061032863851</c:v>
                </c:pt>
                <c:pt idx="4">
                  <c:v>2.2826291079812209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55-4E8E-8192-B96C4B94ECD4}"/>
            </c:ext>
          </c:extLst>
        </c:ser>
        <c:ser>
          <c:idx val="1"/>
          <c:order val="2"/>
          <c:tx>
            <c:v>Acinoto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'49.1-3'!$AB$26:$AB$30</c:f>
                <c:numCache>
                  <c:formatCode>General</c:formatCode>
                  <c:ptCount val="5"/>
                  <c:pt idx="0">
                    <c:v>4.8790163593489257</c:v>
                  </c:pt>
                  <c:pt idx="1">
                    <c:v>5.041650237993883</c:v>
                  </c:pt>
                  <c:pt idx="2">
                    <c:v>16.044802709166152</c:v>
                  </c:pt>
                  <c:pt idx="3">
                    <c:v>2.5559920354584378</c:v>
                  </c:pt>
                  <c:pt idx="4">
                    <c:v>1.5534728155968884</c:v>
                  </c:pt>
                </c:numCache>
              </c:numRef>
            </c:plus>
            <c:minus>
              <c:numRef>
                <c:f>'49.1-3'!$AB$26:$AB$30</c:f>
                <c:numCache>
                  <c:formatCode>General</c:formatCode>
                  <c:ptCount val="5"/>
                  <c:pt idx="0">
                    <c:v>4.8790163593489257</c:v>
                  </c:pt>
                  <c:pt idx="1">
                    <c:v>5.041650237993883</c:v>
                  </c:pt>
                  <c:pt idx="2">
                    <c:v>16.044802709166152</c:v>
                  </c:pt>
                  <c:pt idx="3">
                    <c:v>2.5559920354584378</c:v>
                  </c:pt>
                  <c:pt idx="4">
                    <c:v>1.5534728155968884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'49.1-3'!$A$26:$A$30</c:f>
              <c:numCache>
                <c:formatCode>General</c:formatCode>
                <c:ptCount val="5"/>
                <c:pt idx="0">
                  <c:v>0</c:v>
                </c:pt>
                <c:pt idx="1">
                  <c:v>23.5</c:v>
                </c:pt>
                <c:pt idx="2">
                  <c:v>90.5</c:v>
                </c:pt>
                <c:pt idx="3">
                  <c:v>114.5</c:v>
                </c:pt>
                <c:pt idx="4">
                  <c:v>168</c:v>
                </c:pt>
              </c:numCache>
            </c:numRef>
          </c:xVal>
          <c:yVal>
            <c:numRef>
              <c:f>'49.1-3'!$AA$26:$AA$30</c:f>
              <c:numCache>
                <c:formatCode>0.0</c:formatCode>
                <c:ptCount val="5"/>
                <c:pt idx="0">
                  <c:v>279.087323943662</c:v>
                </c:pt>
                <c:pt idx="1">
                  <c:v>262.37370892018788</c:v>
                </c:pt>
                <c:pt idx="2">
                  <c:v>105.75399061032864</c:v>
                </c:pt>
                <c:pt idx="3">
                  <c:v>78.899530516431923</c:v>
                </c:pt>
                <c:pt idx="4">
                  <c:v>4.3502347417840381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55-4E8E-8192-B96C4B94ECD4}"/>
            </c:ext>
          </c:extLst>
        </c:ser>
        <c:ser>
          <c:idx val="4"/>
          <c:order val="0"/>
          <c:tx>
            <c:v>Pseudo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'48.1-3'!$AA$24:$AA$28</c:f>
                <c:numCache>
                  <c:formatCode>General</c:formatCode>
                  <c:ptCount val="5"/>
                  <c:pt idx="0">
                    <c:v>2.7165213411248028</c:v>
                  </c:pt>
                  <c:pt idx="1">
                    <c:v>7.7161163395499521</c:v>
                  </c:pt>
                  <c:pt idx="2">
                    <c:v>33.829019578292773</c:v>
                  </c:pt>
                  <c:pt idx="3">
                    <c:v>26.022945231140593</c:v>
                  </c:pt>
                  <c:pt idx="4">
                    <c:v>8.5807599458573343</c:v>
                  </c:pt>
                </c:numCache>
              </c:numRef>
            </c:plus>
            <c:minus>
              <c:numRef>
                <c:f>'48.1-3'!$AA$24:$AA$28</c:f>
                <c:numCache>
                  <c:formatCode>General</c:formatCode>
                  <c:ptCount val="5"/>
                  <c:pt idx="0">
                    <c:v>2.7165213411248028</c:v>
                  </c:pt>
                  <c:pt idx="1">
                    <c:v>7.7161163395499521</c:v>
                  </c:pt>
                  <c:pt idx="2">
                    <c:v>33.829019578292773</c:v>
                  </c:pt>
                  <c:pt idx="3">
                    <c:v>26.022945231140593</c:v>
                  </c:pt>
                  <c:pt idx="4">
                    <c:v>8.5807599458573343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'48.1-3'!$A$24:$A$28</c:f>
              <c:numCache>
                <c:formatCode>General</c:formatCode>
                <c:ptCount val="5"/>
                <c:pt idx="0">
                  <c:v>0</c:v>
                </c:pt>
                <c:pt idx="1">
                  <c:v>23.5</c:v>
                </c:pt>
                <c:pt idx="2">
                  <c:v>90.5</c:v>
                </c:pt>
                <c:pt idx="3">
                  <c:v>114.5</c:v>
                </c:pt>
                <c:pt idx="4">
                  <c:v>168</c:v>
                </c:pt>
              </c:numCache>
            </c:numRef>
          </c:xVal>
          <c:yVal>
            <c:numRef>
              <c:f>'48.1-3'!$Z$24:$Z$28</c:f>
              <c:numCache>
                <c:formatCode>0.0</c:formatCode>
                <c:ptCount val="5"/>
                <c:pt idx="0">
                  <c:v>278.805633802817</c:v>
                </c:pt>
                <c:pt idx="1">
                  <c:v>264.2516431924883</c:v>
                </c:pt>
                <c:pt idx="2">
                  <c:v>99.744600938967139</c:v>
                </c:pt>
                <c:pt idx="3">
                  <c:v>76.082629107981219</c:v>
                </c:pt>
                <c:pt idx="4">
                  <c:v>6.5981220657276998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A55-4E8E-8192-B96C4B94E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16544"/>
        <c:axId val="73803264"/>
      </c:scatterChart>
      <c:valAx>
        <c:axId val="42716544"/>
        <c:scaling>
          <c:orientation val="minMax"/>
          <c:max val="17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3803264"/>
        <c:crosses val="autoZero"/>
        <c:crossBetween val="midCat"/>
        <c:majorUnit val="25"/>
      </c:valAx>
      <c:valAx>
        <c:axId val="73803264"/>
        <c:scaling>
          <c:orientation val="minMax"/>
          <c:max val="3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phenol concentration mg/L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427165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'50.1'!$AB$6:$AB$12</c:f>
                <c:numCache>
                  <c:formatCode>General</c:formatCode>
                  <c:ptCount val="6"/>
                  <c:pt idx="0">
                    <c:v>1.272876366033133</c:v>
                  </c:pt>
                  <c:pt idx="1">
                    <c:v>1.7396884499614618</c:v>
                  </c:pt>
                  <c:pt idx="2">
                    <c:v>1.4115576061059001</c:v>
                  </c:pt>
                  <c:pt idx="3">
                    <c:v>2.6662781572440264</c:v>
                  </c:pt>
                  <c:pt idx="4">
                    <c:v>0.80755950289997491</c:v>
                  </c:pt>
                  <c:pt idx="5">
                    <c:v>0.15298070016862425</c:v>
                  </c:pt>
                </c:numCache>
              </c:numRef>
            </c:plus>
            <c:minus>
              <c:numRef>
                <c:f>'50.1'!$AB$6:$AB$12</c:f>
                <c:numCache>
                  <c:formatCode>General</c:formatCode>
                  <c:ptCount val="6"/>
                  <c:pt idx="0">
                    <c:v>1.272876366033133</c:v>
                  </c:pt>
                  <c:pt idx="1">
                    <c:v>1.7396884499614618</c:v>
                  </c:pt>
                  <c:pt idx="2">
                    <c:v>1.4115576061059001</c:v>
                  </c:pt>
                  <c:pt idx="3">
                    <c:v>2.6662781572440264</c:v>
                  </c:pt>
                  <c:pt idx="4">
                    <c:v>0.80755950289997491</c:v>
                  </c:pt>
                  <c:pt idx="5">
                    <c:v>0.15298070016862425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'50.1'!$B$6:$B$12</c:f>
              <c:numCache>
                <c:formatCode>General</c:formatCode>
                <c:ptCount val="6"/>
                <c:pt idx="0">
                  <c:v>0</c:v>
                </c:pt>
                <c:pt idx="1">
                  <c:v>27</c:v>
                </c:pt>
                <c:pt idx="2">
                  <c:v>49</c:v>
                </c:pt>
                <c:pt idx="3">
                  <c:v>72.5</c:v>
                </c:pt>
                <c:pt idx="4">
                  <c:v>117.5</c:v>
                </c:pt>
                <c:pt idx="5">
                  <c:v>125.5</c:v>
                </c:pt>
              </c:numCache>
            </c:numRef>
          </c:xVal>
          <c:yVal>
            <c:numRef>
              <c:f>'50.1'!$AA$6:$AA$12</c:f>
              <c:numCache>
                <c:formatCode>0.0</c:formatCode>
                <c:ptCount val="6"/>
                <c:pt idx="0">
                  <c:v>60.038028169014098</c:v>
                </c:pt>
                <c:pt idx="1">
                  <c:v>54.627230046948348</c:v>
                </c:pt>
                <c:pt idx="2">
                  <c:v>55.554460093896715</c:v>
                </c:pt>
                <c:pt idx="3">
                  <c:v>29.25164319248827</c:v>
                </c:pt>
                <c:pt idx="4">
                  <c:v>4.9676056338028181</c:v>
                </c:pt>
                <c:pt idx="5">
                  <c:v>2.5415492957746482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A5-4669-BF64-1DA0C146B5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828992"/>
        <c:axId val="73831168"/>
      </c:scatterChart>
      <c:valAx>
        <c:axId val="7382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3831168"/>
        <c:crosses val="autoZero"/>
        <c:crossBetween val="midCat"/>
      </c:valAx>
      <c:valAx>
        <c:axId val="738311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phenol concentration, mg/L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44242089530475359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crossAx val="738289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'50.1'!$AB$13:$AB$16</c:f>
                <c:numCache>
                  <c:formatCode>General</c:formatCode>
                  <c:ptCount val="4"/>
                  <c:pt idx="0">
                    <c:v>0.1542880443676532</c:v>
                  </c:pt>
                  <c:pt idx="1">
                    <c:v>6.6736886909144078</c:v>
                  </c:pt>
                  <c:pt idx="2">
                    <c:v>1.5783906467213189</c:v>
                  </c:pt>
                  <c:pt idx="3">
                    <c:v>0.21548988920457871</c:v>
                  </c:pt>
                </c:numCache>
              </c:numRef>
            </c:plus>
            <c:minus>
              <c:numRef>
                <c:f>'50.1'!$AB$13:$AB$16</c:f>
                <c:numCache>
                  <c:formatCode>General</c:formatCode>
                  <c:ptCount val="4"/>
                  <c:pt idx="0">
                    <c:v>0.1542880443676532</c:v>
                  </c:pt>
                  <c:pt idx="1">
                    <c:v>6.6736886909144078</c:v>
                  </c:pt>
                  <c:pt idx="2">
                    <c:v>1.5783906467213189</c:v>
                  </c:pt>
                  <c:pt idx="3">
                    <c:v>0.21548988920457871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'50.1'!$A$13:$A$16</c:f>
              <c:numCache>
                <c:formatCode>General</c:formatCode>
                <c:ptCount val="4"/>
                <c:pt idx="0">
                  <c:v>0</c:v>
                </c:pt>
                <c:pt idx="1">
                  <c:v>44</c:v>
                </c:pt>
                <c:pt idx="2">
                  <c:v>66.75</c:v>
                </c:pt>
                <c:pt idx="3">
                  <c:v>73.5</c:v>
                </c:pt>
              </c:numCache>
            </c:numRef>
          </c:xVal>
          <c:yVal>
            <c:numRef>
              <c:f>'50.1'!$AA$13:$AA$16</c:f>
              <c:numCache>
                <c:formatCode>0.0</c:formatCode>
                <c:ptCount val="4"/>
                <c:pt idx="0">
                  <c:v>113.87605633802819</c:v>
                </c:pt>
                <c:pt idx="1">
                  <c:v>16.2</c:v>
                </c:pt>
                <c:pt idx="2">
                  <c:v>3.6806338028169021</c:v>
                </c:pt>
                <c:pt idx="3">
                  <c:v>2.7399061032863852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AE-43C9-B8E0-C995CF7D9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105216"/>
        <c:axId val="76107136"/>
      </c:scatterChart>
      <c:valAx>
        <c:axId val="7610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6107136"/>
        <c:crosses val="autoZero"/>
        <c:crossBetween val="midCat"/>
      </c:valAx>
      <c:valAx>
        <c:axId val="761071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phenol concentration, mg/L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44242089530475359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crossAx val="761052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'50.1'!$AB$17:$AB$22</c:f>
                <c:numCache>
                  <c:formatCode>General</c:formatCode>
                  <c:ptCount val="6"/>
                  <c:pt idx="0">
                    <c:v>1.556721137788958E-14</c:v>
                  </c:pt>
                  <c:pt idx="1">
                    <c:v>2.133988742887579</c:v>
                  </c:pt>
                  <c:pt idx="2">
                    <c:v>3.9814171933063811</c:v>
                  </c:pt>
                  <c:pt idx="3">
                    <c:v>1.0011895325379103</c:v>
                  </c:pt>
                  <c:pt idx="4">
                    <c:v>1.0423248928741466</c:v>
                  </c:pt>
                  <c:pt idx="5">
                    <c:v>0</c:v>
                  </c:pt>
                </c:numCache>
              </c:numRef>
            </c:plus>
            <c:minus>
              <c:numRef>
                <c:f>'50.1'!$AB$17:$AB$22</c:f>
                <c:numCache>
                  <c:formatCode>General</c:formatCode>
                  <c:ptCount val="6"/>
                  <c:pt idx="0">
                    <c:v>1.556721137788958E-14</c:v>
                  </c:pt>
                  <c:pt idx="1">
                    <c:v>2.133988742887579</c:v>
                  </c:pt>
                  <c:pt idx="2">
                    <c:v>3.9814171933063811</c:v>
                  </c:pt>
                  <c:pt idx="3">
                    <c:v>1.0011895325379103</c:v>
                  </c:pt>
                  <c:pt idx="4">
                    <c:v>1.0423248928741466</c:v>
                  </c:pt>
                  <c:pt idx="5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'50.1'!$A$17:$A$22</c:f>
              <c:numCache>
                <c:formatCode>General</c:formatCode>
                <c:ptCount val="6"/>
                <c:pt idx="0">
                  <c:v>0</c:v>
                </c:pt>
                <c:pt idx="1">
                  <c:v>17.5</c:v>
                </c:pt>
                <c:pt idx="2">
                  <c:v>44.5</c:v>
                </c:pt>
                <c:pt idx="3">
                  <c:v>66</c:v>
                </c:pt>
                <c:pt idx="4">
                  <c:v>70.5</c:v>
                </c:pt>
                <c:pt idx="5">
                  <c:v>89.5</c:v>
                </c:pt>
              </c:numCache>
            </c:numRef>
          </c:xVal>
          <c:yVal>
            <c:numRef>
              <c:f>'50.1'!$AA$17:$AA$22</c:f>
              <c:numCache>
                <c:formatCode>0.0</c:formatCode>
                <c:ptCount val="6"/>
                <c:pt idx="0">
                  <c:v>113.73521126760566</c:v>
                </c:pt>
                <c:pt idx="1">
                  <c:v>86.710563380281698</c:v>
                </c:pt>
                <c:pt idx="2">
                  <c:v>31.716431924882631</c:v>
                </c:pt>
                <c:pt idx="3">
                  <c:v>8.0802816901408452</c:v>
                </c:pt>
                <c:pt idx="4">
                  <c:v>4.7211267605633802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0E-423B-BC7B-39AB59F38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140928"/>
        <c:axId val="76142848"/>
      </c:scatterChart>
      <c:valAx>
        <c:axId val="7614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6142848"/>
        <c:crosses val="autoZero"/>
        <c:crossBetween val="midCat"/>
      </c:valAx>
      <c:valAx>
        <c:axId val="761428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phenol concentration, mg/L</a:t>
                </a:r>
              </a:p>
            </c:rich>
          </c:tx>
          <c:layout>
            <c:manualLayout>
              <c:xMode val="edge"/>
              <c:yMode val="edge"/>
              <c:x val="8.3333333333333332E-3"/>
              <c:y val="0.17321777486147566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crossAx val="761409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'50.1'!$AB$23:$AB$26</c:f>
                <c:numCache>
                  <c:formatCode>General</c:formatCode>
                  <c:ptCount val="4"/>
                  <c:pt idx="0">
                    <c:v>5.294351022313367</c:v>
                  </c:pt>
                  <c:pt idx="1">
                    <c:v>10.919202761979346</c:v>
                  </c:pt>
                  <c:pt idx="2">
                    <c:v>9.5591512287706628</c:v>
                  </c:pt>
                  <c:pt idx="3">
                    <c:v>5.7952070184503111</c:v>
                  </c:pt>
                </c:numCache>
              </c:numRef>
            </c:plus>
            <c:minus>
              <c:numRef>
                <c:f>'50.1'!$AB$23:$AB$26</c:f>
                <c:numCache>
                  <c:formatCode>General</c:formatCode>
                  <c:ptCount val="4"/>
                  <c:pt idx="0">
                    <c:v>5.294351022313367</c:v>
                  </c:pt>
                  <c:pt idx="1">
                    <c:v>10.919202761979346</c:v>
                  </c:pt>
                  <c:pt idx="2">
                    <c:v>9.5591512287706628</c:v>
                  </c:pt>
                  <c:pt idx="3">
                    <c:v>5.7952070184503111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'50.1'!$A$23:$A$26</c:f>
              <c:numCache>
                <c:formatCode>General</c:formatCode>
                <c:ptCount val="4"/>
                <c:pt idx="0">
                  <c:v>0</c:v>
                </c:pt>
                <c:pt idx="1">
                  <c:v>45</c:v>
                </c:pt>
                <c:pt idx="2">
                  <c:v>91</c:v>
                </c:pt>
                <c:pt idx="3">
                  <c:v>120</c:v>
                </c:pt>
              </c:numCache>
            </c:numRef>
          </c:xVal>
          <c:yVal>
            <c:numRef>
              <c:f>'50.1'!$AA$23:$AA$26</c:f>
              <c:numCache>
                <c:formatCode>0.0</c:formatCode>
                <c:ptCount val="4"/>
                <c:pt idx="0">
                  <c:v>144.79154929577467</c:v>
                </c:pt>
                <c:pt idx="1">
                  <c:v>107.44413145539907</c:v>
                </c:pt>
                <c:pt idx="2">
                  <c:v>19.838497652582159</c:v>
                </c:pt>
                <c:pt idx="3">
                  <c:v>8.0849765258215971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B5-43C5-BCFE-B4F49BEB65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456064"/>
        <c:axId val="74478720"/>
      </c:scatterChart>
      <c:valAx>
        <c:axId val="7445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4478720"/>
        <c:crosses val="autoZero"/>
        <c:crossBetween val="midCat"/>
      </c:valAx>
      <c:valAx>
        <c:axId val="744787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phenol concentration, mg/L</a:t>
                </a:r>
              </a:p>
            </c:rich>
          </c:tx>
          <c:layout>
            <c:manualLayout>
              <c:xMode val="edge"/>
              <c:yMode val="edge"/>
              <c:x val="8.3333333333333332E-3"/>
              <c:y val="0.26581036745406822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crossAx val="74456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'50.1'!$AB$27:$AB$31</c:f>
                <c:numCache>
                  <c:formatCode>General</c:formatCode>
                  <c:ptCount val="5"/>
                  <c:pt idx="0">
                    <c:v>1.0156482466095835</c:v>
                  </c:pt>
                  <c:pt idx="1">
                    <c:v>1.6017579445288614</c:v>
                  </c:pt>
                  <c:pt idx="2">
                    <c:v>21.553131083413014</c:v>
                  </c:pt>
                  <c:pt idx="3">
                    <c:v>7.0722366413710978</c:v>
                  </c:pt>
                  <c:pt idx="4">
                    <c:v>3.9536295898591001</c:v>
                  </c:pt>
                </c:numCache>
              </c:numRef>
            </c:plus>
            <c:minus>
              <c:numRef>
                <c:f>'50.1'!$AB$27:$AB$31</c:f>
                <c:numCache>
                  <c:formatCode>General</c:formatCode>
                  <c:ptCount val="5"/>
                  <c:pt idx="0">
                    <c:v>1.0156482466095835</c:v>
                  </c:pt>
                  <c:pt idx="1">
                    <c:v>1.6017579445288614</c:v>
                  </c:pt>
                  <c:pt idx="2">
                    <c:v>21.553131083413014</c:v>
                  </c:pt>
                  <c:pt idx="3">
                    <c:v>7.0722366413710978</c:v>
                  </c:pt>
                  <c:pt idx="4">
                    <c:v>3.9536295898591001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'50.1'!$A$27:$A$31</c:f>
              <c:numCache>
                <c:formatCode>General</c:formatCode>
                <c:ptCount val="5"/>
                <c:pt idx="0">
                  <c:v>0</c:v>
                </c:pt>
                <c:pt idx="1">
                  <c:v>23.5</c:v>
                </c:pt>
                <c:pt idx="2">
                  <c:v>90.5</c:v>
                </c:pt>
                <c:pt idx="3">
                  <c:v>114.5</c:v>
                </c:pt>
                <c:pt idx="4">
                  <c:v>168</c:v>
                </c:pt>
              </c:numCache>
            </c:numRef>
          </c:xVal>
          <c:yVal>
            <c:numRef>
              <c:f>'50.1'!$AA$27:$AA$31</c:f>
              <c:numCache>
                <c:formatCode>0.0</c:formatCode>
                <c:ptCount val="5"/>
                <c:pt idx="0">
                  <c:v>277.67887323943665</c:v>
                </c:pt>
                <c:pt idx="1">
                  <c:v>259.83849765258219</c:v>
                </c:pt>
                <c:pt idx="2">
                  <c:v>134.3924882629108</c:v>
                </c:pt>
                <c:pt idx="3">
                  <c:v>105.19061032863851</c:v>
                </c:pt>
                <c:pt idx="4">
                  <c:v>2.2826291079812209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F3-4A27-95DE-FBCBF581F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508160"/>
        <c:axId val="74579968"/>
      </c:scatterChart>
      <c:valAx>
        <c:axId val="7450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4579968"/>
        <c:crosses val="autoZero"/>
        <c:crossBetween val="midCat"/>
      </c:valAx>
      <c:valAx>
        <c:axId val="745799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phenol concentration, mg/L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0.28895851560221641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crossAx val="745081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05888876566486"/>
          <c:y val="4.1120443277923593E-2"/>
          <c:w val="0.80453277143174018"/>
          <c:h val="0.82058471857684456"/>
        </c:manualLayout>
      </c:layout>
      <c:scatterChart>
        <c:scatterStyle val="lineMarker"/>
        <c:varyColors val="0"/>
        <c:ser>
          <c:idx val="1"/>
          <c:order val="1"/>
          <c:tx>
            <c:v>1st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'50.1'!$AB$6:$AB$12</c:f>
                <c:numCache>
                  <c:formatCode>General</c:formatCode>
                  <c:ptCount val="6"/>
                  <c:pt idx="0">
                    <c:v>1.272876366033133</c:v>
                  </c:pt>
                  <c:pt idx="1">
                    <c:v>1.7396884499614618</c:v>
                  </c:pt>
                  <c:pt idx="2">
                    <c:v>1.4115576061059001</c:v>
                  </c:pt>
                  <c:pt idx="3">
                    <c:v>2.6662781572440264</c:v>
                  </c:pt>
                  <c:pt idx="4">
                    <c:v>0.80755950289997491</c:v>
                  </c:pt>
                  <c:pt idx="5">
                    <c:v>0.15298070016862425</c:v>
                  </c:pt>
                </c:numCache>
              </c:numRef>
            </c:plus>
            <c:minus>
              <c:numRef>
                <c:f>'50.1'!$AB$6:$AB$12</c:f>
                <c:numCache>
                  <c:formatCode>General</c:formatCode>
                  <c:ptCount val="6"/>
                  <c:pt idx="0">
                    <c:v>1.272876366033133</c:v>
                  </c:pt>
                  <c:pt idx="1">
                    <c:v>1.7396884499614618</c:v>
                  </c:pt>
                  <c:pt idx="2">
                    <c:v>1.4115576061059001</c:v>
                  </c:pt>
                  <c:pt idx="3">
                    <c:v>2.6662781572440264</c:v>
                  </c:pt>
                  <c:pt idx="4">
                    <c:v>0.80755950289997491</c:v>
                  </c:pt>
                  <c:pt idx="5">
                    <c:v>0.15298070016862425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'50.1'!$B$6:$B$12</c:f>
              <c:numCache>
                <c:formatCode>General</c:formatCode>
                <c:ptCount val="6"/>
                <c:pt idx="0">
                  <c:v>0</c:v>
                </c:pt>
                <c:pt idx="1">
                  <c:v>27</c:v>
                </c:pt>
                <c:pt idx="2">
                  <c:v>49</c:v>
                </c:pt>
                <c:pt idx="3">
                  <c:v>72.5</c:v>
                </c:pt>
                <c:pt idx="4">
                  <c:v>117.5</c:v>
                </c:pt>
                <c:pt idx="5">
                  <c:v>125.5</c:v>
                </c:pt>
              </c:numCache>
            </c:numRef>
          </c:xVal>
          <c:yVal>
            <c:numRef>
              <c:f>'50.1'!$AA$6:$AA$12</c:f>
              <c:numCache>
                <c:formatCode>0.0</c:formatCode>
                <c:ptCount val="6"/>
                <c:pt idx="0">
                  <c:v>60.038028169014098</c:v>
                </c:pt>
                <c:pt idx="1">
                  <c:v>54.627230046948348</c:v>
                </c:pt>
                <c:pt idx="2">
                  <c:v>55.554460093896715</c:v>
                </c:pt>
                <c:pt idx="3">
                  <c:v>29.25164319248827</c:v>
                </c:pt>
                <c:pt idx="4">
                  <c:v>4.9676056338028181</c:v>
                </c:pt>
                <c:pt idx="5">
                  <c:v>2.5415492957746482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39-4DD1-B5D3-6A57010317A0}"/>
            </c:ext>
          </c:extLst>
        </c:ser>
        <c:ser>
          <c:idx val="2"/>
          <c:order val="2"/>
          <c:tx>
            <c:v>2nd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'50.1'!$AB$13:$AB$16</c:f>
                <c:numCache>
                  <c:formatCode>General</c:formatCode>
                  <c:ptCount val="4"/>
                  <c:pt idx="0">
                    <c:v>0.1542880443676532</c:v>
                  </c:pt>
                  <c:pt idx="1">
                    <c:v>6.6736886909144078</c:v>
                  </c:pt>
                  <c:pt idx="2">
                    <c:v>1.5783906467213189</c:v>
                  </c:pt>
                  <c:pt idx="3">
                    <c:v>0.21548988920457871</c:v>
                  </c:pt>
                </c:numCache>
              </c:numRef>
            </c:plus>
            <c:minus>
              <c:numRef>
                <c:f>'50.1'!$AB$13:$AB$16</c:f>
                <c:numCache>
                  <c:formatCode>General</c:formatCode>
                  <c:ptCount val="4"/>
                  <c:pt idx="0">
                    <c:v>0.1542880443676532</c:v>
                  </c:pt>
                  <c:pt idx="1">
                    <c:v>6.6736886909144078</c:v>
                  </c:pt>
                  <c:pt idx="2">
                    <c:v>1.5783906467213189</c:v>
                  </c:pt>
                  <c:pt idx="3">
                    <c:v>0.21548988920457871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'50.1'!$A$13:$A$16</c:f>
              <c:numCache>
                <c:formatCode>General</c:formatCode>
                <c:ptCount val="4"/>
                <c:pt idx="0">
                  <c:v>0</c:v>
                </c:pt>
                <c:pt idx="1">
                  <c:v>44</c:v>
                </c:pt>
                <c:pt idx="2">
                  <c:v>66.75</c:v>
                </c:pt>
                <c:pt idx="3">
                  <c:v>73.5</c:v>
                </c:pt>
              </c:numCache>
            </c:numRef>
          </c:xVal>
          <c:yVal>
            <c:numRef>
              <c:f>'50.1'!$AA$13:$AA$16</c:f>
              <c:numCache>
                <c:formatCode>0.0</c:formatCode>
                <c:ptCount val="4"/>
                <c:pt idx="0">
                  <c:v>113.87605633802819</c:v>
                </c:pt>
                <c:pt idx="1">
                  <c:v>16.2</c:v>
                </c:pt>
                <c:pt idx="2">
                  <c:v>3.6806338028169021</c:v>
                </c:pt>
                <c:pt idx="3">
                  <c:v>2.7399061032863852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39-4DD1-B5D3-6A57010317A0}"/>
            </c:ext>
          </c:extLst>
        </c:ser>
        <c:ser>
          <c:idx val="3"/>
          <c:order val="3"/>
          <c:tx>
            <c:v>3rd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'50.1'!$AB$17:$AB$22</c:f>
                <c:numCache>
                  <c:formatCode>General</c:formatCode>
                  <c:ptCount val="6"/>
                  <c:pt idx="0">
                    <c:v>1.556721137788958E-14</c:v>
                  </c:pt>
                  <c:pt idx="1">
                    <c:v>2.133988742887579</c:v>
                  </c:pt>
                  <c:pt idx="2">
                    <c:v>3.9814171933063811</c:v>
                  </c:pt>
                  <c:pt idx="3">
                    <c:v>1.0011895325379103</c:v>
                  </c:pt>
                  <c:pt idx="4">
                    <c:v>1.0423248928741466</c:v>
                  </c:pt>
                  <c:pt idx="5">
                    <c:v>0</c:v>
                  </c:pt>
                </c:numCache>
              </c:numRef>
            </c:plus>
            <c:minus>
              <c:numRef>
                <c:f>'50.1'!$AB$17:$AB$22</c:f>
                <c:numCache>
                  <c:formatCode>General</c:formatCode>
                  <c:ptCount val="6"/>
                  <c:pt idx="0">
                    <c:v>1.556721137788958E-14</c:v>
                  </c:pt>
                  <c:pt idx="1">
                    <c:v>2.133988742887579</c:v>
                  </c:pt>
                  <c:pt idx="2">
                    <c:v>3.9814171933063811</c:v>
                  </c:pt>
                  <c:pt idx="3">
                    <c:v>1.0011895325379103</c:v>
                  </c:pt>
                  <c:pt idx="4">
                    <c:v>1.0423248928741466</c:v>
                  </c:pt>
                  <c:pt idx="5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'50.1'!$A$17:$A$22</c:f>
              <c:numCache>
                <c:formatCode>General</c:formatCode>
                <c:ptCount val="6"/>
                <c:pt idx="0">
                  <c:v>0</c:v>
                </c:pt>
                <c:pt idx="1">
                  <c:v>17.5</c:v>
                </c:pt>
                <c:pt idx="2">
                  <c:v>44.5</c:v>
                </c:pt>
                <c:pt idx="3">
                  <c:v>66</c:v>
                </c:pt>
                <c:pt idx="4">
                  <c:v>70.5</c:v>
                </c:pt>
                <c:pt idx="5">
                  <c:v>89.5</c:v>
                </c:pt>
              </c:numCache>
            </c:numRef>
          </c:xVal>
          <c:yVal>
            <c:numRef>
              <c:f>'50.1'!$AA$17:$AA$22</c:f>
              <c:numCache>
                <c:formatCode>0.0</c:formatCode>
                <c:ptCount val="6"/>
                <c:pt idx="0">
                  <c:v>113.73521126760566</c:v>
                </c:pt>
                <c:pt idx="1">
                  <c:v>86.710563380281698</c:v>
                </c:pt>
                <c:pt idx="2">
                  <c:v>31.716431924882631</c:v>
                </c:pt>
                <c:pt idx="3">
                  <c:v>8.0802816901408452</c:v>
                </c:pt>
                <c:pt idx="4">
                  <c:v>4.7211267605633802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439-4DD1-B5D3-6A57010317A0}"/>
            </c:ext>
          </c:extLst>
        </c:ser>
        <c:ser>
          <c:idx val="4"/>
          <c:order val="4"/>
          <c:tx>
            <c:v>4th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'50.1'!$AB$23:$AB$26</c:f>
                <c:numCache>
                  <c:formatCode>General</c:formatCode>
                  <c:ptCount val="4"/>
                  <c:pt idx="0">
                    <c:v>5.294351022313367</c:v>
                  </c:pt>
                  <c:pt idx="1">
                    <c:v>10.919202761979346</c:v>
                  </c:pt>
                  <c:pt idx="2">
                    <c:v>9.5591512287706628</c:v>
                  </c:pt>
                  <c:pt idx="3">
                    <c:v>5.7952070184503111</c:v>
                  </c:pt>
                </c:numCache>
              </c:numRef>
            </c:plus>
            <c:minus>
              <c:numRef>
                <c:f>'50.1'!$AB$23:$AB$26</c:f>
                <c:numCache>
                  <c:formatCode>General</c:formatCode>
                  <c:ptCount val="4"/>
                  <c:pt idx="0">
                    <c:v>5.294351022313367</c:v>
                  </c:pt>
                  <c:pt idx="1">
                    <c:v>10.919202761979346</c:v>
                  </c:pt>
                  <c:pt idx="2">
                    <c:v>9.5591512287706628</c:v>
                  </c:pt>
                  <c:pt idx="3">
                    <c:v>5.7952070184503111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'50.1'!$A$23:$A$26</c:f>
              <c:numCache>
                <c:formatCode>General</c:formatCode>
                <c:ptCount val="4"/>
                <c:pt idx="0">
                  <c:v>0</c:v>
                </c:pt>
                <c:pt idx="1">
                  <c:v>45</c:v>
                </c:pt>
                <c:pt idx="2">
                  <c:v>91</c:v>
                </c:pt>
                <c:pt idx="3">
                  <c:v>120</c:v>
                </c:pt>
              </c:numCache>
            </c:numRef>
          </c:xVal>
          <c:yVal>
            <c:numRef>
              <c:f>'50.1'!$AA$23:$AA$26</c:f>
              <c:numCache>
                <c:formatCode>0.0</c:formatCode>
                <c:ptCount val="4"/>
                <c:pt idx="0">
                  <c:v>144.79154929577467</c:v>
                </c:pt>
                <c:pt idx="1">
                  <c:v>107.44413145539907</c:v>
                </c:pt>
                <c:pt idx="2">
                  <c:v>19.838497652582159</c:v>
                </c:pt>
                <c:pt idx="3">
                  <c:v>8.0849765258215971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439-4DD1-B5D3-6A57010317A0}"/>
            </c:ext>
          </c:extLst>
        </c:ser>
        <c:ser>
          <c:idx val="0"/>
          <c:order val="0"/>
          <c:tx>
            <c:v>5th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'50.1'!$AB$27:$AB$31</c:f>
                <c:numCache>
                  <c:formatCode>General</c:formatCode>
                  <c:ptCount val="5"/>
                  <c:pt idx="0">
                    <c:v>1.0156482466095835</c:v>
                  </c:pt>
                  <c:pt idx="1">
                    <c:v>1.6017579445288614</c:v>
                  </c:pt>
                  <c:pt idx="2">
                    <c:v>21.553131083413014</c:v>
                  </c:pt>
                  <c:pt idx="3">
                    <c:v>7.0722366413710978</c:v>
                  </c:pt>
                  <c:pt idx="4">
                    <c:v>3.9536295898591001</c:v>
                  </c:pt>
                </c:numCache>
              </c:numRef>
            </c:plus>
            <c:minus>
              <c:numRef>
                <c:f>'50.1'!$AB$27:$AB$31</c:f>
                <c:numCache>
                  <c:formatCode>General</c:formatCode>
                  <c:ptCount val="5"/>
                  <c:pt idx="0">
                    <c:v>1.0156482466095835</c:v>
                  </c:pt>
                  <c:pt idx="1">
                    <c:v>1.6017579445288614</c:v>
                  </c:pt>
                  <c:pt idx="2">
                    <c:v>21.553131083413014</c:v>
                  </c:pt>
                  <c:pt idx="3">
                    <c:v>7.0722366413710978</c:v>
                  </c:pt>
                  <c:pt idx="4">
                    <c:v>3.9536295898591001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'50.1'!$A$27:$A$31</c:f>
              <c:numCache>
                <c:formatCode>General</c:formatCode>
                <c:ptCount val="5"/>
                <c:pt idx="0">
                  <c:v>0</c:v>
                </c:pt>
                <c:pt idx="1">
                  <c:v>23.5</c:v>
                </c:pt>
                <c:pt idx="2">
                  <c:v>90.5</c:v>
                </c:pt>
                <c:pt idx="3">
                  <c:v>114.5</c:v>
                </c:pt>
                <c:pt idx="4">
                  <c:v>168</c:v>
                </c:pt>
              </c:numCache>
            </c:numRef>
          </c:xVal>
          <c:yVal>
            <c:numRef>
              <c:f>'50.1'!$AA$27:$AA$31</c:f>
              <c:numCache>
                <c:formatCode>0.0</c:formatCode>
                <c:ptCount val="5"/>
                <c:pt idx="0">
                  <c:v>277.67887323943665</c:v>
                </c:pt>
                <c:pt idx="1">
                  <c:v>259.83849765258219</c:v>
                </c:pt>
                <c:pt idx="2">
                  <c:v>134.3924882629108</c:v>
                </c:pt>
                <c:pt idx="3">
                  <c:v>105.19061032863851</c:v>
                </c:pt>
                <c:pt idx="4">
                  <c:v>2.2826291079812209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439-4DD1-B5D3-6A5701031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19904"/>
        <c:axId val="74638464"/>
      </c:scatterChart>
      <c:valAx>
        <c:axId val="74619904"/>
        <c:scaling>
          <c:orientation val="minMax"/>
          <c:max val="17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>
            <c:manualLayout>
              <c:xMode val="edge"/>
              <c:yMode val="edge"/>
              <c:x val="0.52237440390373735"/>
              <c:y val="0.9174520268299796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74638464"/>
        <c:crosses val="autoZero"/>
        <c:crossBetween val="midCat"/>
        <c:majorUnit val="25"/>
      </c:valAx>
      <c:valAx>
        <c:axId val="74638464"/>
        <c:scaling>
          <c:orientation val="minMax"/>
          <c:max val="3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phenol concentration, mg/L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0.28895851560221641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crossAx val="746199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104314073416883"/>
          <c:y val="2.9358413531642004E-3"/>
          <c:w val="0.15515404236442276"/>
          <c:h val="0.3348687664041994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'48.1-3'!$AA$5:$AA$10</c:f>
                <c:numCache>
                  <c:formatCode>General</c:formatCode>
                  <c:ptCount val="6"/>
                  <c:pt idx="0">
                    <c:v>1.272876366033133</c:v>
                  </c:pt>
                  <c:pt idx="1">
                    <c:v>1.0131222612597195</c:v>
                  </c:pt>
                  <c:pt idx="2">
                    <c:v>2.8783497314409439</c:v>
                  </c:pt>
                  <c:pt idx="3">
                    <c:v>6.7175002710991514</c:v>
                  </c:pt>
                  <c:pt idx="4">
                    <c:v>2.9661791928617265</c:v>
                  </c:pt>
                  <c:pt idx="5">
                    <c:v>0</c:v>
                  </c:pt>
                </c:numCache>
              </c:numRef>
            </c:plus>
            <c:minus>
              <c:numRef>
                <c:f>'48.1-3'!$AA$5:$AA$10</c:f>
                <c:numCache>
                  <c:formatCode>General</c:formatCode>
                  <c:ptCount val="6"/>
                  <c:pt idx="0">
                    <c:v>1.272876366033133</c:v>
                  </c:pt>
                  <c:pt idx="1">
                    <c:v>1.0131222612597195</c:v>
                  </c:pt>
                  <c:pt idx="2">
                    <c:v>2.8783497314409439</c:v>
                  </c:pt>
                  <c:pt idx="3">
                    <c:v>6.7175002710991514</c:v>
                  </c:pt>
                  <c:pt idx="4">
                    <c:v>2.9661791928617265</c:v>
                  </c:pt>
                  <c:pt idx="5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'48.1-3'!$A$5:$A$10</c:f>
              <c:numCache>
                <c:formatCode>General</c:formatCode>
                <c:ptCount val="6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5">
                  <c:v>114</c:v>
                </c:pt>
              </c:numCache>
            </c:numRef>
          </c:xVal>
          <c:yVal>
            <c:numRef>
              <c:f>'48.1-3'!$Z$5:$Z$10</c:f>
              <c:numCache>
                <c:formatCode>0.0</c:formatCode>
                <c:ptCount val="6"/>
                <c:pt idx="0">
                  <c:v>60.038028169014098</c:v>
                </c:pt>
                <c:pt idx="1">
                  <c:v>45.343192488262922</c:v>
                </c:pt>
                <c:pt idx="2">
                  <c:v>32.056807511737091</c:v>
                </c:pt>
                <c:pt idx="3">
                  <c:v>13.793896713615025</c:v>
                </c:pt>
                <c:pt idx="4">
                  <c:v>2.1659154929577467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8E-48E3-AEC1-D7FBC73BE4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92672"/>
        <c:axId val="42894848"/>
      </c:scatterChart>
      <c:valAx>
        <c:axId val="4289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2894848"/>
        <c:crosses val="autoZero"/>
        <c:crossBetween val="midCat"/>
      </c:valAx>
      <c:valAx>
        <c:axId val="428948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phenol concentration mg/L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428926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05888876566486"/>
          <c:y val="4.1120443277923593E-2"/>
          <c:w val="0.80453277143174018"/>
          <c:h val="0.82058471857684456"/>
        </c:manualLayout>
      </c:layout>
      <c:scatterChart>
        <c:scatterStyle val="lineMarker"/>
        <c:varyColors val="0"/>
        <c:ser>
          <c:idx val="0"/>
          <c:order val="0"/>
          <c:tx>
            <c:v>5th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'50.1'!$AB$27:$AB$31</c:f>
                <c:numCache>
                  <c:formatCode>General</c:formatCode>
                  <c:ptCount val="5"/>
                  <c:pt idx="0">
                    <c:v>1.0156482466095835</c:v>
                  </c:pt>
                  <c:pt idx="1">
                    <c:v>1.6017579445288614</c:v>
                  </c:pt>
                  <c:pt idx="2">
                    <c:v>21.553131083413014</c:v>
                  </c:pt>
                  <c:pt idx="3">
                    <c:v>7.0722366413710978</c:v>
                  </c:pt>
                  <c:pt idx="4">
                    <c:v>3.9536295898591001</c:v>
                  </c:pt>
                </c:numCache>
              </c:numRef>
            </c:plus>
            <c:minus>
              <c:numRef>
                <c:f>'50.1'!$AB$27:$AB$31</c:f>
                <c:numCache>
                  <c:formatCode>General</c:formatCode>
                  <c:ptCount val="5"/>
                  <c:pt idx="0">
                    <c:v>1.0156482466095835</c:v>
                  </c:pt>
                  <c:pt idx="1">
                    <c:v>1.6017579445288614</c:v>
                  </c:pt>
                  <c:pt idx="2">
                    <c:v>21.553131083413014</c:v>
                  </c:pt>
                  <c:pt idx="3">
                    <c:v>7.0722366413710978</c:v>
                  </c:pt>
                  <c:pt idx="4">
                    <c:v>3.9536295898591001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'50.1'!$A$27:$A$31</c:f>
              <c:numCache>
                <c:formatCode>General</c:formatCode>
                <c:ptCount val="5"/>
                <c:pt idx="0">
                  <c:v>0</c:v>
                </c:pt>
                <c:pt idx="1">
                  <c:v>23.5</c:v>
                </c:pt>
                <c:pt idx="2">
                  <c:v>90.5</c:v>
                </c:pt>
                <c:pt idx="3">
                  <c:v>114.5</c:v>
                </c:pt>
                <c:pt idx="4">
                  <c:v>168</c:v>
                </c:pt>
              </c:numCache>
            </c:numRef>
          </c:xVal>
          <c:yVal>
            <c:numRef>
              <c:f>'50.1'!$AA$27:$AA$31</c:f>
              <c:numCache>
                <c:formatCode>0.0</c:formatCode>
                <c:ptCount val="5"/>
                <c:pt idx="0">
                  <c:v>277.67887323943665</c:v>
                </c:pt>
                <c:pt idx="1">
                  <c:v>259.83849765258219</c:v>
                </c:pt>
                <c:pt idx="2">
                  <c:v>134.3924882629108</c:v>
                </c:pt>
                <c:pt idx="3">
                  <c:v>105.19061032863851</c:v>
                </c:pt>
                <c:pt idx="4">
                  <c:v>2.2826291079812209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75-4E03-A9C1-BB38DFEF39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72000"/>
        <c:axId val="74674176"/>
      </c:scatterChart>
      <c:valAx>
        <c:axId val="74672000"/>
        <c:scaling>
          <c:orientation val="minMax"/>
          <c:max val="17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>
            <c:manualLayout>
              <c:xMode val="edge"/>
              <c:yMode val="edge"/>
              <c:x val="0.52237440390373735"/>
              <c:y val="0.9174520268299796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74674176"/>
        <c:crosses val="autoZero"/>
        <c:crossBetween val="midCat"/>
        <c:majorUnit val="25"/>
      </c:valAx>
      <c:valAx>
        <c:axId val="74674176"/>
        <c:scaling>
          <c:orientation val="minMax"/>
          <c:max val="3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phenol concentration, mg/L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0.28895851560221641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crossAx val="746720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'51.1'!$AB$5:$AB$20</c:f>
                <c:numCache>
                  <c:formatCode>General</c:formatCode>
                  <c:ptCount val="11"/>
                  <c:pt idx="0">
                    <c:v>0.34307740953543364</c:v>
                  </c:pt>
                  <c:pt idx="1">
                    <c:v>1.3972450228183062</c:v>
                  </c:pt>
                  <c:pt idx="2">
                    <c:v>0.68615481907086573</c:v>
                  </c:pt>
                  <c:pt idx="3">
                    <c:v>3.978659649886318</c:v>
                  </c:pt>
                  <c:pt idx="4">
                    <c:v>0.96291451766686853</c:v>
                  </c:pt>
                  <c:pt idx="5">
                    <c:v>1.9808594040030603</c:v>
                  </c:pt>
                  <c:pt idx="6">
                    <c:v>1.9208333614575126</c:v>
                  </c:pt>
                  <c:pt idx="7">
                    <c:v>1.7407552338208743</c:v>
                  </c:pt>
                  <c:pt idx="8">
                    <c:v>1.2605468934564925</c:v>
                  </c:pt>
                  <c:pt idx="9">
                    <c:v>1.9808594040030603</c:v>
                  </c:pt>
                  <c:pt idx="10">
                    <c:v>2.2209635741852511</c:v>
                  </c:pt>
                </c:numCache>
              </c:numRef>
            </c:plus>
            <c:minus>
              <c:numRef>
                <c:f>'51.1'!$AB$5:$AB$20</c:f>
                <c:numCache>
                  <c:formatCode>General</c:formatCode>
                  <c:ptCount val="11"/>
                  <c:pt idx="0">
                    <c:v>0.34307740953543364</c:v>
                  </c:pt>
                  <c:pt idx="1">
                    <c:v>1.3972450228183062</c:v>
                  </c:pt>
                  <c:pt idx="2">
                    <c:v>0.68615481907086573</c:v>
                  </c:pt>
                  <c:pt idx="3">
                    <c:v>3.978659649886318</c:v>
                  </c:pt>
                  <c:pt idx="4">
                    <c:v>0.96291451766686853</c:v>
                  </c:pt>
                  <c:pt idx="5">
                    <c:v>1.9808594040030603</c:v>
                  </c:pt>
                  <c:pt idx="6">
                    <c:v>1.9208333614575126</c:v>
                  </c:pt>
                  <c:pt idx="7">
                    <c:v>1.7407552338208743</c:v>
                  </c:pt>
                  <c:pt idx="8">
                    <c:v>1.2605468934564925</c:v>
                  </c:pt>
                  <c:pt idx="9">
                    <c:v>1.9808594040030603</c:v>
                  </c:pt>
                  <c:pt idx="10">
                    <c:v>2.2209635741852511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'51.1'!$A$5:$A$20</c:f>
              <c:numCache>
                <c:formatCode>General</c:formatCode>
                <c:ptCount val="11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5">
                  <c:v>114</c:v>
                </c:pt>
                <c:pt idx="6">
                  <c:v>121</c:v>
                </c:pt>
                <c:pt idx="7">
                  <c:v>166</c:v>
                </c:pt>
                <c:pt idx="8">
                  <c:v>190</c:v>
                </c:pt>
                <c:pt idx="9">
                  <c:v>217</c:v>
                </c:pt>
                <c:pt idx="10">
                  <c:v>239</c:v>
                </c:pt>
              </c:numCache>
            </c:numRef>
          </c:xVal>
          <c:yVal>
            <c:numRef>
              <c:f>'51.1'!$AA$5:$AA$20</c:f>
              <c:numCache>
                <c:formatCode>0.0</c:formatCode>
                <c:ptCount val="11"/>
                <c:pt idx="0">
                  <c:v>62.912563667232597</c:v>
                </c:pt>
                <c:pt idx="1">
                  <c:v>58.392190152801355</c:v>
                </c:pt>
                <c:pt idx="2">
                  <c:v>50.306451612903231</c:v>
                </c:pt>
                <c:pt idx="3">
                  <c:v>58.965195246179967</c:v>
                </c:pt>
                <c:pt idx="4">
                  <c:v>54.041595925297116</c:v>
                </c:pt>
                <c:pt idx="5">
                  <c:v>58.668081494057731</c:v>
                </c:pt>
                <c:pt idx="6">
                  <c:v>55.399830220713071</c:v>
                </c:pt>
                <c:pt idx="7">
                  <c:v>52.640916808149406</c:v>
                </c:pt>
                <c:pt idx="8">
                  <c:v>55.102716468590828</c:v>
                </c:pt>
                <c:pt idx="9">
                  <c:v>57.904074702886248</c:v>
                </c:pt>
                <c:pt idx="10">
                  <c:v>49.754668930390494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C9-47C7-AC39-B4B506291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261632"/>
        <c:axId val="74263552"/>
      </c:scatterChart>
      <c:valAx>
        <c:axId val="74261632"/>
        <c:scaling>
          <c:orientation val="minMax"/>
          <c:max val="2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4263552"/>
        <c:crosses val="autoZero"/>
        <c:crossBetween val="midCat"/>
      </c:valAx>
      <c:valAx>
        <c:axId val="74263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2CP concentration,</a:t>
                </a:r>
                <a:r>
                  <a:rPr lang="en-GB" baseline="0"/>
                  <a:t> mg/L</a:t>
                </a:r>
                <a:endParaRPr lang="en-GB"/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742616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tx>
            <c:v>Pse &amp; 50mg/L</c:v>
          </c:tx>
          <c:spPr>
            <a:ln w="28575">
              <a:solidFill>
                <a:schemeClr val="tx1"/>
              </a:solidFill>
              <a:prstDash val="sysDot"/>
            </a:ln>
          </c:spPr>
          <c:errBars>
            <c:errDir val="y"/>
            <c:errBarType val="both"/>
            <c:errValType val="cust"/>
            <c:noEndCap val="0"/>
            <c:plus>
              <c:numRef>
                <c:f>'53.1'!$AC$5:$AC$20</c:f>
                <c:numCache>
                  <c:formatCode>General</c:formatCode>
                  <c:ptCount val="9"/>
                  <c:pt idx="0">
                    <c:v>0.4014253271617681</c:v>
                  </c:pt>
                  <c:pt idx="1">
                    <c:v>1.222402850075756</c:v>
                  </c:pt>
                  <c:pt idx="2">
                    <c:v>16.901134066503346</c:v>
                  </c:pt>
                  <c:pt idx="3">
                    <c:v>1.9850340324340991</c:v>
                  </c:pt>
                  <c:pt idx="4">
                    <c:v>1.7622345516624174</c:v>
                  </c:pt>
                  <c:pt idx="5">
                    <c:v>0.1410464827010505</c:v>
                  </c:pt>
                  <c:pt idx="6">
                    <c:v>1.5212981834095614</c:v>
                  </c:pt>
                  <c:pt idx="7">
                    <c:v>10.672804966568338</c:v>
                  </c:pt>
                  <c:pt idx="8">
                    <c:v>9.791308260420724</c:v>
                  </c:pt>
                </c:numCache>
              </c:numRef>
            </c:plus>
            <c:minus>
              <c:numRef>
                <c:f>'53.1'!$AC$5:$AC$20</c:f>
                <c:numCache>
                  <c:formatCode>General</c:formatCode>
                  <c:ptCount val="9"/>
                  <c:pt idx="0">
                    <c:v>0.4014253271617681</c:v>
                  </c:pt>
                  <c:pt idx="1">
                    <c:v>1.222402850075756</c:v>
                  </c:pt>
                  <c:pt idx="2">
                    <c:v>16.901134066503346</c:v>
                  </c:pt>
                  <c:pt idx="3">
                    <c:v>1.9850340324340991</c:v>
                  </c:pt>
                  <c:pt idx="4">
                    <c:v>1.7622345516624174</c:v>
                  </c:pt>
                  <c:pt idx="5">
                    <c:v>0.1410464827010505</c:v>
                  </c:pt>
                  <c:pt idx="6">
                    <c:v>1.5212981834095614</c:v>
                  </c:pt>
                  <c:pt idx="7">
                    <c:v>10.672804966568338</c:v>
                  </c:pt>
                  <c:pt idx="8">
                    <c:v>9.791308260420724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'53.1'!$A$5:$A$20</c:f>
              <c:numCache>
                <c:formatCode>General</c:formatCode>
                <c:ptCount val="9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5">
                  <c:v>114</c:v>
                </c:pt>
                <c:pt idx="6">
                  <c:v>166</c:v>
                </c:pt>
                <c:pt idx="7">
                  <c:v>217</c:v>
                </c:pt>
                <c:pt idx="8">
                  <c:v>239</c:v>
                </c:pt>
              </c:numCache>
            </c:numRef>
          </c:xVal>
          <c:yVal>
            <c:numRef>
              <c:f>'53.1'!$AB$5:$AB$20</c:f>
              <c:numCache>
                <c:formatCode>0.0</c:formatCode>
                <c:ptCount val="9"/>
                <c:pt idx="0">
                  <c:v>45.417752442996751</c:v>
                </c:pt>
                <c:pt idx="1">
                  <c:v>33.28963083604777</c:v>
                </c:pt>
                <c:pt idx="2">
                  <c:v>25.579900994342534</c:v>
                </c:pt>
                <c:pt idx="3">
                  <c:v>38.105048859934854</c:v>
                </c:pt>
                <c:pt idx="4">
                  <c:v>34.97801302931596</c:v>
                </c:pt>
                <c:pt idx="5">
                  <c:v>32.013843648208471</c:v>
                </c:pt>
                <c:pt idx="6">
                  <c:v>27.53501628664495</c:v>
                </c:pt>
                <c:pt idx="7">
                  <c:v>14.935721326932969</c:v>
                </c:pt>
                <c:pt idx="8">
                  <c:v>13.447068403908794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2D-4EDA-84EE-52091DC27B2F}"/>
            </c:ext>
          </c:extLst>
        </c:ser>
        <c:ser>
          <c:idx val="2"/>
          <c:order val="2"/>
          <c:tx>
            <c:v>Rho &amp; 100mg/L</c:v>
          </c:tx>
          <c:spPr>
            <a:ln w="25400">
              <a:solidFill>
                <a:schemeClr val="tx1"/>
              </a:solidFill>
            </a:ln>
          </c:spPr>
          <c:errBars>
            <c:errDir val="y"/>
            <c:errBarType val="both"/>
            <c:errValType val="cust"/>
            <c:noEndCap val="0"/>
            <c:plus>
              <c:numRef>
                <c:f>'54.1-4'!$AF$6:$AF$20</c:f>
                <c:numCache>
                  <c:formatCode>General</c:formatCode>
                  <c:ptCount val="10"/>
                  <c:pt idx="0">
                    <c:v>0.84627889620629482</c:v>
                  </c:pt>
                  <c:pt idx="1">
                    <c:v>2.4631587488301112</c:v>
                  </c:pt>
                  <c:pt idx="2">
                    <c:v>0.94587649750411973</c:v>
                  </c:pt>
                  <c:pt idx="3">
                    <c:v>1.065914979156998</c:v>
                  </c:pt>
                  <c:pt idx="4">
                    <c:v>0.51823786894779722</c:v>
                  </c:pt>
                  <c:pt idx="5">
                    <c:v>1.7850415485979636</c:v>
                  </c:pt>
                  <c:pt idx="6">
                    <c:v>0.57581985438645034</c:v>
                  </c:pt>
                  <c:pt idx="7">
                    <c:v>2.4196998117383806</c:v>
                  </c:pt>
                  <c:pt idx="8">
                    <c:v>0.63340183982508325</c:v>
                  </c:pt>
                  <c:pt idx="9">
                    <c:v>2.1172638436482121</c:v>
                  </c:pt>
                </c:numCache>
              </c:numRef>
            </c:plus>
            <c:minus>
              <c:numRef>
                <c:f>'54.1-4'!$AF$6:$AF$20</c:f>
                <c:numCache>
                  <c:formatCode>General</c:formatCode>
                  <c:ptCount val="10"/>
                  <c:pt idx="0">
                    <c:v>0.84627889620629482</c:v>
                  </c:pt>
                  <c:pt idx="1">
                    <c:v>2.4631587488301112</c:v>
                  </c:pt>
                  <c:pt idx="2">
                    <c:v>0.94587649750411973</c:v>
                  </c:pt>
                  <c:pt idx="3">
                    <c:v>1.065914979156998</c:v>
                  </c:pt>
                  <c:pt idx="4">
                    <c:v>0.51823786894779722</c:v>
                  </c:pt>
                  <c:pt idx="5">
                    <c:v>1.7850415485979636</c:v>
                  </c:pt>
                  <c:pt idx="6">
                    <c:v>0.57581985438645034</c:v>
                  </c:pt>
                  <c:pt idx="7">
                    <c:v>2.4196998117383806</c:v>
                  </c:pt>
                  <c:pt idx="8">
                    <c:v>0.63340183982508325</c:v>
                  </c:pt>
                  <c:pt idx="9">
                    <c:v>2.1172638436482121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'54.1-4'!$B$6:$B$20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49</c:v>
                </c:pt>
                <c:pt idx="3">
                  <c:v>72.5</c:v>
                </c:pt>
                <c:pt idx="4">
                  <c:v>93.5</c:v>
                </c:pt>
                <c:pt idx="5">
                  <c:v>100.5</c:v>
                </c:pt>
                <c:pt idx="6">
                  <c:v>145.5</c:v>
                </c:pt>
                <c:pt idx="7">
                  <c:v>169.5</c:v>
                </c:pt>
                <c:pt idx="8">
                  <c:v>196.5</c:v>
                </c:pt>
                <c:pt idx="9">
                  <c:v>218.5</c:v>
                </c:pt>
              </c:numCache>
            </c:numRef>
          </c:xVal>
          <c:yVal>
            <c:numRef>
              <c:f>'54.1-4'!$AE$6:$AE$20</c:f>
              <c:numCache>
                <c:formatCode>0.0</c:formatCode>
                <c:ptCount val="10"/>
                <c:pt idx="0">
                  <c:v>91.867263843648203</c:v>
                </c:pt>
                <c:pt idx="1">
                  <c:v>76.211726384364809</c:v>
                </c:pt>
                <c:pt idx="2">
                  <c:v>78.89902280130292</c:v>
                </c:pt>
                <c:pt idx="3">
                  <c:v>81.525244299674256</c:v>
                </c:pt>
                <c:pt idx="4">
                  <c:v>80.263029315960893</c:v>
                </c:pt>
                <c:pt idx="5">
                  <c:v>76.679967426710078</c:v>
                </c:pt>
                <c:pt idx="6">
                  <c:v>75.824918566775239</c:v>
                </c:pt>
                <c:pt idx="7">
                  <c:v>73.565146579804548</c:v>
                </c:pt>
                <c:pt idx="8">
                  <c:v>72.201140065146575</c:v>
                </c:pt>
                <c:pt idx="9">
                  <c:v>70.531758957654702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2D-4EDA-84EE-52091DC27B2F}"/>
            </c:ext>
          </c:extLst>
        </c:ser>
        <c:ser>
          <c:idx val="3"/>
          <c:order val="3"/>
          <c:tx>
            <c:v>Rho &amp; 50mg/L </c:v>
          </c:tx>
          <c:spPr>
            <a:ln w="25400" cmpd="sng">
              <a:solidFill>
                <a:schemeClr val="tx1"/>
              </a:solidFill>
              <a:prstDash val="dashDot"/>
            </a:ln>
          </c:spPr>
          <c:errBars>
            <c:errDir val="y"/>
            <c:errBarType val="both"/>
            <c:errValType val="cust"/>
            <c:noEndCap val="0"/>
            <c:plus>
              <c:numRef>
                <c:f>'54.1-4'!$AD$6:$AD$20</c:f>
                <c:numCache>
                  <c:formatCode>General</c:formatCode>
                  <c:ptCount val="10"/>
                  <c:pt idx="0">
                    <c:v>0.42313944810314735</c:v>
                  </c:pt>
                  <c:pt idx="1">
                    <c:v>0.74745764457189856</c:v>
                  </c:pt>
                  <c:pt idx="2">
                    <c:v>1.0772603058080596</c:v>
                  </c:pt>
                  <c:pt idx="3">
                    <c:v>0.20493578814524299</c:v>
                  </c:pt>
                  <c:pt idx="4">
                    <c:v>2.7281143125411993</c:v>
                  </c:pt>
                  <c:pt idx="5">
                    <c:v>1.7616700042983657</c:v>
                  </c:pt>
                  <c:pt idx="6">
                    <c:v>2.4184433884230443</c:v>
                  </c:pt>
                  <c:pt idx="7">
                    <c:v>2.0998353503096956</c:v>
                  </c:pt>
                  <c:pt idx="8">
                    <c:v>2.1881154466684722</c:v>
                  </c:pt>
                  <c:pt idx="9">
                    <c:v>0.57581985438644023</c:v>
                  </c:pt>
                </c:numCache>
              </c:numRef>
            </c:plus>
            <c:minus>
              <c:numRef>
                <c:f>'54.1-4'!$AD$6:$AD$20</c:f>
                <c:numCache>
                  <c:formatCode>General</c:formatCode>
                  <c:ptCount val="10"/>
                  <c:pt idx="0">
                    <c:v>0.42313944810314735</c:v>
                  </c:pt>
                  <c:pt idx="1">
                    <c:v>0.74745764457189856</c:v>
                  </c:pt>
                  <c:pt idx="2">
                    <c:v>1.0772603058080596</c:v>
                  </c:pt>
                  <c:pt idx="3">
                    <c:v>0.20493578814524299</c:v>
                  </c:pt>
                  <c:pt idx="4">
                    <c:v>2.7281143125411993</c:v>
                  </c:pt>
                  <c:pt idx="5">
                    <c:v>1.7616700042983657</c:v>
                  </c:pt>
                  <c:pt idx="6">
                    <c:v>2.4184433884230443</c:v>
                  </c:pt>
                  <c:pt idx="7">
                    <c:v>2.0998353503096956</c:v>
                  </c:pt>
                  <c:pt idx="8">
                    <c:v>2.1881154466684722</c:v>
                  </c:pt>
                  <c:pt idx="9">
                    <c:v>0.57581985438644023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'54.1-4'!$B$6:$B$20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49</c:v>
                </c:pt>
                <c:pt idx="3">
                  <c:v>72.5</c:v>
                </c:pt>
                <c:pt idx="4">
                  <c:v>93.5</c:v>
                </c:pt>
                <c:pt idx="5">
                  <c:v>100.5</c:v>
                </c:pt>
                <c:pt idx="6">
                  <c:v>145.5</c:v>
                </c:pt>
                <c:pt idx="7">
                  <c:v>169.5</c:v>
                </c:pt>
                <c:pt idx="8">
                  <c:v>196.5</c:v>
                </c:pt>
                <c:pt idx="9">
                  <c:v>218.5</c:v>
                </c:pt>
              </c:numCache>
            </c:numRef>
          </c:xVal>
          <c:yVal>
            <c:numRef>
              <c:f>'54.1-4'!$AC$6:$AC$20</c:f>
              <c:numCache>
                <c:formatCode>0.0</c:formatCode>
                <c:ptCount val="10"/>
                <c:pt idx="0">
                  <c:v>45.491042345276881</c:v>
                </c:pt>
                <c:pt idx="1">
                  <c:v>35.210097719869708</c:v>
                </c:pt>
                <c:pt idx="2">
                  <c:v>40.767915309446259</c:v>
                </c:pt>
                <c:pt idx="3">
                  <c:v>41.012214983713349</c:v>
                </c:pt>
                <c:pt idx="4">
                  <c:v>37.849891422366994</c:v>
                </c:pt>
                <c:pt idx="5">
                  <c:v>31.606677524429966</c:v>
                </c:pt>
                <c:pt idx="6">
                  <c:v>28.023615635179155</c:v>
                </c:pt>
                <c:pt idx="7">
                  <c:v>24.908794788273617</c:v>
                </c:pt>
                <c:pt idx="8">
                  <c:v>23.300488599348533</c:v>
                </c:pt>
                <c:pt idx="9">
                  <c:v>18.495928338762216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52D-4EDA-84EE-52091DC27B2F}"/>
            </c:ext>
          </c:extLst>
        </c:ser>
        <c:ser>
          <c:idx val="4"/>
          <c:order val="4"/>
          <c:tx>
            <c:v>Acn &amp; 50mg/L</c:v>
          </c:tx>
          <c:spPr>
            <a:ln w="28575">
              <a:solidFill>
                <a:schemeClr val="tx1"/>
              </a:solidFill>
              <a:prstDash val="lgDash"/>
            </a:ln>
          </c:spPr>
          <c:errBars>
            <c:errDir val="y"/>
            <c:errBarType val="both"/>
            <c:errValType val="cust"/>
            <c:noEndCap val="0"/>
            <c:pl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plus>
            <c:min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'52.1'!$A$5:$A$19</c:f>
              <c:numCache>
                <c:formatCode>General</c:formatCode>
                <c:ptCount val="15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6">
                  <c:v>138</c:v>
                </c:pt>
                <c:pt idx="9">
                  <c:v>190</c:v>
                </c:pt>
                <c:pt idx="10">
                  <c:v>212.75</c:v>
                </c:pt>
                <c:pt idx="13">
                  <c:v>236.75</c:v>
                </c:pt>
                <c:pt idx="14">
                  <c:v>263.75</c:v>
                </c:pt>
              </c:numCache>
            </c:numRef>
          </c:xVal>
          <c:yVal>
            <c:numRef>
              <c:f>'52.1'!$AA$5:$AA$19</c:f>
              <c:numCache>
                <c:formatCode>0.0</c:formatCode>
                <c:ptCount val="15"/>
                <c:pt idx="0">
                  <c:v>45.491042345276874</c:v>
                </c:pt>
                <c:pt idx="1">
                  <c:v>39.940010857763298</c:v>
                </c:pt>
                <c:pt idx="3">
                  <c:v>38.189196525515747</c:v>
                </c:pt>
                <c:pt idx="4">
                  <c:v>37.307003257328994</c:v>
                </c:pt>
                <c:pt idx="6">
                  <c:v>33.174267100977197</c:v>
                </c:pt>
                <c:pt idx="9">
                  <c:v>22.974755700325733</c:v>
                </c:pt>
                <c:pt idx="10">
                  <c:v>16.704397394136809</c:v>
                </c:pt>
                <c:pt idx="13">
                  <c:v>6.7571517412935327</c:v>
                </c:pt>
                <c:pt idx="14">
                  <c:v>0.10914179104477612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52D-4EDA-84EE-52091DC27B2F}"/>
            </c:ext>
          </c:extLst>
        </c:ser>
        <c:ser>
          <c:idx val="0"/>
          <c:order val="0"/>
          <c:tx>
            <c:v>Acinoto 2nd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'52.1'!$AB$20:$AB$24</c:f>
                <c:numCache>
                  <c:formatCode>General</c:formatCode>
                  <c:ptCount val="5"/>
                  <c:pt idx="0">
                    <c:v>0.16286644951140161</c:v>
                  </c:pt>
                  <c:pt idx="1">
                    <c:v>6.6819918320556395</c:v>
                  </c:pt>
                  <c:pt idx="3">
                    <c:v>3.6512003979327106</c:v>
                  </c:pt>
                  <c:pt idx="4">
                    <c:v>0</c:v>
                  </c:pt>
                </c:numCache>
              </c:numRef>
            </c:plus>
            <c:minus>
              <c:numRef>
                <c:f>'52.1'!$AB$20:$AB$24</c:f>
                <c:numCache>
                  <c:formatCode>General</c:formatCode>
                  <c:ptCount val="5"/>
                  <c:pt idx="0">
                    <c:v>0.16286644951140161</c:v>
                  </c:pt>
                  <c:pt idx="1">
                    <c:v>6.6819918320556395</c:v>
                  </c:pt>
                  <c:pt idx="3">
                    <c:v>3.6512003979327106</c:v>
                  </c:pt>
                  <c:pt idx="4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'52.1'!$A$20:$A$24</c:f>
              <c:numCache>
                <c:formatCode>General</c:formatCode>
                <c:ptCount val="5"/>
                <c:pt idx="0">
                  <c:v>0</c:v>
                </c:pt>
                <c:pt idx="1">
                  <c:v>21</c:v>
                </c:pt>
                <c:pt idx="3">
                  <c:v>49.5</c:v>
                </c:pt>
                <c:pt idx="4">
                  <c:v>90</c:v>
                </c:pt>
              </c:numCache>
            </c:numRef>
          </c:xVal>
          <c:yVal>
            <c:numRef>
              <c:f>'52.1'!$AA$20:$AA$24</c:f>
              <c:numCache>
                <c:formatCode>0.0</c:formatCode>
                <c:ptCount val="5"/>
                <c:pt idx="0">
                  <c:v>43.170195439739416</c:v>
                </c:pt>
                <c:pt idx="1">
                  <c:v>36.818403908794792</c:v>
                </c:pt>
                <c:pt idx="3">
                  <c:v>13.827090119435397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52D-4EDA-84EE-52091DC27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717824"/>
        <c:axId val="74732288"/>
      </c:scatterChart>
      <c:valAx>
        <c:axId val="7471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4732288"/>
        <c:crosses val="autoZero"/>
        <c:crossBetween val="midCat"/>
      </c:valAx>
      <c:valAx>
        <c:axId val="747322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cresol concentration, mg/L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747178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'51.1'!$AB$5:$AB$20</c:f>
                <c:numCache>
                  <c:formatCode>General</c:formatCode>
                  <c:ptCount val="11"/>
                  <c:pt idx="0">
                    <c:v>0.34307740953543364</c:v>
                  </c:pt>
                  <c:pt idx="1">
                    <c:v>1.3972450228183062</c:v>
                  </c:pt>
                  <c:pt idx="2">
                    <c:v>0.68615481907086573</c:v>
                  </c:pt>
                  <c:pt idx="3">
                    <c:v>3.978659649886318</c:v>
                  </c:pt>
                  <c:pt idx="4">
                    <c:v>0.96291451766686853</c:v>
                  </c:pt>
                  <c:pt idx="5">
                    <c:v>1.9808594040030603</c:v>
                  </c:pt>
                  <c:pt idx="6">
                    <c:v>1.9208333614575126</c:v>
                  </c:pt>
                  <c:pt idx="7">
                    <c:v>1.7407552338208743</c:v>
                  </c:pt>
                  <c:pt idx="8">
                    <c:v>1.2605468934564925</c:v>
                  </c:pt>
                  <c:pt idx="9">
                    <c:v>1.9808594040030603</c:v>
                  </c:pt>
                  <c:pt idx="10">
                    <c:v>2.2209635741852511</c:v>
                  </c:pt>
                </c:numCache>
              </c:numRef>
            </c:plus>
            <c:minus>
              <c:numRef>
                <c:f>'51.1'!$AB$5:$AB$20</c:f>
                <c:numCache>
                  <c:formatCode>General</c:formatCode>
                  <c:ptCount val="11"/>
                  <c:pt idx="0">
                    <c:v>0.34307740953543364</c:v>
                  </c:pt>
                  <c:pt idx="1">
                    <c:v>1.3972450228183062</c:v>
                  </c:pt>
                  <c:pt idx="2">
                    <c:v>0.68615481907086573</c:v>
                  </c:pt>
                  <c:pt idx="3">
                    <c:v>3.978659649886318</c:v>
                  </c:pt>
                  <c:pt idx="4">
                    <c:v>0.96291451766686853</c:v>
                  </c:pt>
                  <c:pt idx="5">
                    <c:v>1.9808594040030603</c:v>
                  </c:pt>
                  <c:pt idx="6">
                    <c:v>1.9208333614575126</c:v>
                  </c:pt>
                  <c:pt idx="7">
                    <c:v>1.7407552338208743</c:v>
                  </c:pt>
                  <c:pt idx="8">
                    <c:v>1.2605468934564925</c:v>
                  </c:pt>
                  <c:pt idx="9">
                    <c:v>1.9808594040030603</c:v>
                  </c:pt>
                  <c:pt idx="10">
                    <c:v>2.2209635741852511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'51.1'!$A$5:$A$20</c:f>
              <c:numCache>
                <c:formatCode>General</c:formatCode>
                <c:ptCount val="11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5">
                  <c:v>114</c:v>
                </c:pt>
                <c:pt idx="6">
                  <c:v>121</c:v>
                </c:pt>
                <c:pt idx="7">
                  <c:v>166</c:v>
                </c:pt>
                <c:pt idx="8">
                  <c:v>190</c:v>
                </c:pt>
                <c:pt idx="9">
                  <c:v>217</c:v>
                </c:pt>
                <c:pt idx="10">
                  <c:v>239</c:v>
                </c:pt>
              </c:numCache>
            </c:numRef>
          </c:xVal>
          <c:yVal>
            <c:numRef>
              <c:f>'51.1'!$AC$5:$AC$20</c:f>
              <c:numCache>
                <c:formatCode>General</c:formatCode>
                <c:ptCount val="11"/>
                <c:pt idx="0">
                  <c:v>100</c:v>
                </c:pt>
                <c:pt idx="1">
                  <c:v>93.990461049284576</c:v>
                </c:pt>
                <c:pt idx="2">
                  <c:v>93.56120826709062</c:v>
                </c:pt>
                <c:pt idx="3">
                  <c:v>92.869634340222575</c:v>
                </c:pt>
                <c:pt idx="4">
                  <c:v>93.338632750397451</c:v>
                </c:pt>
                <c:pt idx="5">
                  <c:v>93.155802861685217</c:v>
                </c:pt>
                <c:pt idx="6">
                  <c:v>92.623211446740854</c:v>
                </c:pt>
                <c:pt idx="7">
                  <c:v>92.941176470588232</c:v>
                </c:pt>
                <c:pt idx="8">
                  <c:v>93.306836248012715</c:v>
                </c:pt>
                <c:pt idx="9">
                  <c:v>91.240063593004777</c:v>
                </c:pt>
                <c:pt idx="10">
                  <c:v>93.306836248012715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8D-4468-939E-C5A8FF372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762880"/>
        <c:axId val="74769152"/>
      </c:scatterChart>
      <c:valAx>
        <c:axId val="74762880"/>
        <c:scaling>
          <c:orientation val="minMax"/>
          <c:max val="2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4769152"/>
        <c:crosses val="autoZero"/>
        <c:crossBetween val="midCat"/>
      </c:valAx>
      <c:valAx>
        <c:axId val="74769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2CP concentration,</a:t>
                </a:r>
                <a:r>
                  <a:rPr lang="en-GB" baseline="0"/>
                  <a:t> mg/L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47628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98862642169728"/>
          <c:y val="3.2882035578885971E-2"/>
          <c:w val="0.77713910761154859"/>
          <c:h val="0.87428623505395164"/>
        </c:manualLayout>
      </c:layout>
      <c:scatterChart>
        <c:scatterStyle val="lineMarker"/>
        <c:varyColors val="0"/>
        <c:ser>
          <c:idx val="2"/>
          <c:order val="2"/>
          <c:tx>
            <c:v>Pse 1st cycle</c:v>
          </c:tx>
          <c:spPr>
            <a:ln w="28575">
              <a:solidFill>
                <a:schemeClr val="tx1"/>
              </a:solidFill>
              <a:prstDash val="sysDot"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'53.1'!$AC$5:$AC$20</c:f>
                <c:numCache>
                  <c:formatCode>General</c:formatCode>
                  <c:ptCount val="9"/>
                  <c:pt idx="0">
                    <c:v>0.4014253271617681</c:v>
                  </c:pt>
                  <c:pt idx="1">
                    <c:v>1.222402850075756</c:v>
                  </c:pt>
                  <c:pt idx="2">
                    <c:v>16.901134066503346</c:v>
                  </c:pt>
                  <c:pt idx="3">
                    <c:v>1.9850340324340991</c:v>
                  </c:pt>
                  <c:pt idx="4">
                    <c:v>1.7622345516624174</c:v>
                  </c:pt>
                  <c:pt idx="5">
                    <c:v>0.1410464827010505</c:v>
                  </c:pt>
                  <c:pt idx="6">
                    <c:v>1.5212981834095614</c:v>
                  </c:pt>
                  <c:pt idx="7">
                    <c:v>10.672804966568338</c:v>
                  </c:pt>
                  <c:pt idx="8">
                    <c:v>9.791308260420724</c:v>
                  </c:pt>
                </c:numCache>
              </c:numRef>
            </c:plus>
            <c:minus>
              <c:numRef>
                <c:f>'53.1'!$AC$5:$AC$20</c:f>
                <c:numCache>
                  <c:formatCode>General</c:formatCode>
                  <c:ptCount val="9"/>
                  <c:pt idx="0">
                    <c:v>0.4014253271617681</c:v>
                  </c:pt>
                  <c:pt idx="1">
                    <c:v>1.222402850075756</c:v>
                  </c:pt>
                  <c:pt idx="2">
                    <c:v>16.901134066503346</c:v>
                  </c:pt>
                  <c:pt idx="3">
                    <c:v>1.9850340324340991</c:v>
                  </c:pt>
                  <c:pt idx="4">
                    <c:v>1.7622345516624174</c:v>
                  </c:pt>
                  <c:pt idx="5">
                    <c:v>0.1410464827010505</c:v>
                  </c:pt>
                  <c:pt idx="6">
                    <c:v>1.5212981834095614</c:v>
                  </c:pt>
                  <c:pt idx="7">
                    <c:v>10.672804966568338</c:v>
                  </c:pt>
                  <c:pt idx="8">
                    <c:v>9.791308260420724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'53.1'!$A$5:$A$20</c:f>
              <c:numCache>
                <c:formatCode>General</c:formatCode>
                <c:ptCount val="9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5">
                  <c:v>114</c:v>
                </c:pt>
                <c:pt idx="6">
                  <c:v>166</c:v>
                </c:pt>
                <c:pt idx="7">
                  <c:v>217</c:v>
                </c:pt>
                <c:pt idx="8">
                  <c:v>239</c:v>
                </c:pt>
              </c:numCache>
            </c:numRef>
          </c:xVal>
          <c:yVal>
            <c:numRef>
              <c:f>'53.1'!$AB$5:$AB$20</c:f>
              <c:numCache>
                <c:formatCode>0.0</c:formatCode>
                <c:ptCount val="9"/>
                <c:pt idx="0">
                  <c:v>45.417752442996751</c:v>
                </c:pt>
                <c:pt idx="1">
                  <c:v>33.28963083604777</c:v>
                </c:pt>
                <c:pt idx="2">
                  <c:v>25.579900994342534</c:v>
                </c:pt>
                <c:pt idx="3">
                  <c:v>38.105048859934854</c:v>
                </c:pt>
                <c:pt idx="4">
                  <c:v>34.97801302931596</c:v>
                </c:pt>
                <c:pt idx="5">
                  <c:v>32.013843648208471</c:v>
                </c:pt>
                <c:pt idx="6">
                  <c:v>27.53501628664495</c:v>
                </c:pt>
                <c:pt idx="7">
                  <c:v>14.935721326932969</c:v>
                </c:pt>
                <c:pt idx="8">
                  <c:v>13.447068403908794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3D-4A4F-8333-89A4825C8917}"/>
            </c:ext>
          </c:extLst>
        </c:ser>
        <c:ser>
          <c:idx val="4"/>
          <c:order val="3"/>
          <c:tx>
            <c:v>Rho 1st cycle</c:v>
          </c:tx>
          <c:spPr>
            <a:ln w="25400" cmpd="sng">
              <a:solidFill>
                <a:schemeClr val="tx1"/>
              </a:solidFill>
              <a:prstDash val="dashDot"/>
            </a:ln>
          </c:spPr>
          <c:marker>
            <c:symbol val="star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'54.1-4'!$AD$6:$AD$20</c:f>
                <c:numCache>
                  <c:formatCode>General</c:formatCode>
                  <c:ptCount val="10"/>
                  <c:pt idx="0">
                    <c:v>0.42313944810314735</c:v>
                  </c:pt>
                  <c:pt idx="1">
                    <c:v>0.74745764457189856</c:v>
                  </c:pt>
                  <c:pt idx="2">
                    <c:v>1.0772603058080596</c:v>
                  </c:pt>
                  <c:pt idx="3">
                    <c:v>0.20493578814524299</c:v>
                  </c:pt>
                  <c:pt idx="4">
                    <c:v>2.7281143125411993</c:v>
                  </c:pt>
                  <c:pt idx="5">
                    <c:v>1.7616700042983657</c:v>
                  </c:pt>
                  <c:pt idx="6">
                    <c:v>2.4184433884230443</c:v>
                  </c:pt>
                  <c:pt idx="7">
                    <c:v>2.0998353503096956</c:v>
                  </c:pt>
                  <c:pt idx="8">
                    <c:v>2.1881154466684722</c:v>
                  </c:pt>
                  <c:pt idx="9">
                    <c:v>0.57581985438644023</c:v>
                  </c:pt>
                </c:numCache>
              </c:numRef>
            </c:plus>
            <c:minus>
              <c:numRef>
                <c:f>'54.1-4'!$AD$6:$AD$20</c:f>
                <c:numCache>
                  <c:formatCode>General</c:formatCode>
                  <c:ptCount val="10"/>
                  <c:pt idx="0">
                    <c:v>0.42313944810314735</c:v>
                  </c:pt>
                  <c:pt idx="1">
                    <c:v>0.74745764457189856</c:v>
                  </c:pt>
                  <c:pt idx="2">
                    <c:v>1.0772603058080596</c:v>
                  </c:pt>
                  <c:pt idx="3">
                    <c:v>0.20493578814524299</c:v>
                  </c:pt>
                  <c:pt idx="4">
                    <c:v>2.7281143125411993</c:v>
                  </c:pt>
                  <c:pt idx="5">
                    <c:v>1.7616700042983657</c:v>
                  </c:pt>
                  <c:pt idx="6">
                    <c:v>2.4184433884230443</c:v>
                  </c:pt>
                  <c:pt idx="7">
                    <c:v>2.0998353503096956</c:v>
                  </c:pt>
                  <c:pt idx="8">
                    <c:v>2.1881154466684722</c:v>
                  </c:pt>
                  <c:pt idx="9">
                    <c:v>0.57581985438644023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'54.1-4'!$B$6:$B$20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49</c:v>
                </c:pt>
                <c:pt idx="3">
                  <c:v>72.5</c:v>
                </c:pt>
                <c:pt idx="4">
                  <c:v>93.5</c:v>
                </c:pt>
                <c:pt idx="5">
                  <c:v>100.5</c:v>
                </c:pt>
                <c:pt idx="6">
                  <c:v>145.5</c:v>
                </c:pt>
                <c:pt idx="7">
                  <c:v>169.5</c:v>
                </c:pt>
                <c:pt idx="8">
                  <c:v>196.5</c:v>
                </c:pt>
                <c:pt idx="9">
                  <c:v>218.5</c:v>
                </c:pt>
              </c:numCache>
            </c:numRef>
          </c:xVal>
          <c:yVal>
            <c:numRef>
              <c:f>'54.1-4'!$AC$6:$AC$20</c:f>
              <c:numCache>
                <c:formatCode>0.0</c:formatCode>
                <c:ptCount val="10"/>
                <c:pt idx="0">
                  <c:v>45.491042345276881</c:v>
                </c:pt>
                <c:pt idx="1">
                  <c:v>35.210097719869708</c:v>
                </c:pt>
                <c:pt idx="2">
                  <c:v>40.767915309446259</c:v>
                </c:pt>
                <c:pt idx="3">
                  <c:v>41.012214983713349</c:v>
                </c:pt>
                <c:pt idx="4">
                  <c:v>37.849891422366994</c:v>
                </c:pt>
                <c:pt idx="5">
                  <c:v>31.606677524429966</c:v>
                </c:pt>
                <c:pt idx="6">
                  <c:v>28.023615635179155</c:v>
                </c:pt>
                <c:pt idx="7">
                  <c:v>24.908794788273617</c:v>
                </c:pt>
                <c:pt idx="8">
                  <c:v>23.300488599348533</c:v>
                </c:pt>
                <c:pt idx="9">
                  <c:v>18.495928338762216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03D-4A4F-8333-89A4825C8917}"/>
            </c:ext>
          </c:extLst>
        </c:ser>
        <c:ser>
          <c:idx val="1"/>
          <c:order val="1"/>
          <c:tx>
            <c:v>Acn 1st cycle</c:v>
          </c:tx>
          <c:spPr>
            <a:ln w="28575">
              <a:solidFill>
                <a:schemeClr val="tx1"/>
              </a:solidFill>
              <a:prstDash val="lgDash"/>
            </a:ln>
          </c:spPr>
          <c:marker>
            <c:spPr>
              <a:noFill/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plus>
            <c:min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'52.1'!$A$5:$A$19</c:f>
              <c:numCache>
                <c:formatCode>General</c:formatCode>
                <c:ptCount val="15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6">
                  <c:v>138</c:v>
                </c:pt>
                <c:pt idx="9">
                  <c:v>190</c:v>
                </c:pt>
                <c:pt idx="10">
                  <c:v>212.75</c:v>
                </c:pt>
                <c:pt idx="13">
                  <c:v>236.75</c:v>
                </c:pt>
                <c:pt idx="14">
                  <c:v>263.75</c:v>
                </c:pt>
              </c:numCache>
            </c:numRef>
          </c:xVal>
          <c:yVal>
            <c:numRef>
              <c:f>'52.1'!$AA$5:$AA$19</c:f>
              <c:numCache>
                <c:formatCode>0.0</c:formatCode>
                <c:ptCount val="15"/>
                <c:pt idx="0">
                  <c:v>45.491042345276874</c:v>
                </c:pt>
                <c:pt idx="1">
                  <c:v>39.940010857763298</c:v>
                </c:pt>
                <c:pt idx="3">
                  <c:v>38.189196525515747</c:v>
                </c:pt>
                <c:pt idx="4">
                  <c:v>37.307003257328994</c:v>
                </c:pt>
                <c:pt idx="6">
                  <c:v>33.174267100977197</c:v>
                </c:pt>
                <c:pt idx="9">
                  <c:v>22.974755700325733</c:v>
                </c:pt>
                <c:pt idx="10">
                  <c:v>16.704397394136809</c:v>
                </c:pt>
                <c:pt idx="13">
                  <c:v>6.7571517412935327</c:v>
                </c:pt>
                <c:pt idx="14">
                  <c:v>0.10914179104477612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03D-4A4F-8333-89A4825C8917}"/>
            </c:ext>
          </c:extLst>
        </c:ser>
        <c:ser>
          <c:idx val="0"/>
          <c:order val="0"/>
          <c:tx>
            <c:v>Acn 2nd cycle</c:v>
          </c:tx>
          <c:spPr>
            <a:ln w="28575">
              <a:solidFill>
                <a:schemeClr val="tx1"/>
              </a:solidFill>
            </a:ln>
          </c:spPr>
          <c:marker>
            <c:spPr>
              <a:noFill/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'52.1'!$AB$20:$AB$24</c:f>
                <c:numCache>
                  <c:formatCode>General</c:formatCode>
                  <c:ptCount val="5"/>
                  <c:pt idx="0">
                    <c:v>0.16286644951140161</c:v>
                  </c:pt>
                  <c:pt idx="1">
                    <c:v>6.6819918320556395</c:v>
                  </c:pt>
                  <c:pt idx="3">
                    <c:v>3.6512003979327106</c:v>
                  </c:pt>
                  <c:pt idx="4">
                    <c:v>0</c:v>
                  </c:pt>
                </c:numCache>
              </c:numRef>
            </c:plus>
            <c:minus>
              <c:numRef>
                <c:f>'52.1'!$AB$20:$AB$24</c:f>
                <c:numCache>
                  <c:formatCode>General</c:formatCode>
                  <c:ptCount val="5"/>
                  <c:pt idx="0">
                    <c:v>0.16286644951140161</c:v>
                  </c:pt>
                  <c:pt idx="1">
                    <c:v>6.6819918320556395</c:v>
                  </c:pt>
                  <c:pt idx="3">
                    <c:v>3.6512003979327106</c:v>
                  </c:pt>
                  <c:pt idx="4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'52.1'!$A$20:$A$24</c:f>
              <c:numCache>
                <c:formatCode>General</c:formatCode>
                <c:ptCount val="5"/>
                <c:pt idx="0">
                  <c:v>0</c:v>
                </c:pt>
                <c:pt idx="1">
                  <c:v>21</c:v>
                </c:pt>
                <c:pt idx="3">
                  <c:v>49.5</c:v>
                </c:pt>
                <c:pt idx="4">
                  <c:v>90</c:v>
                </c:pt>
              </c:numCache>
            </c:numRef>
          </c:xVal>
          <c:yVal>
            <c:numRef>
              <c:f>'52.1'!$AA$20:$AA$24</c:f>
              <c:numCache>
                <c:formatCode>0.0</c:formatCode>
                <c:ptCount val="5"/>
                <c:pt idx="0">
                  <c:v>43.170195439739416</c:v>
                </c:pt>
                <c:pt idx="1">
                  <c:v>36.818403908794792</c:v>
                </c:pt>
                <c:pt idx="3">
                  <c:v>13.827090119435397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03D-4A4F-8333-89A4825C8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426624"/>
        <c:axId val="74432896"/>
      </c:scatterChart>
      <c:valAx>
        <c:axId val="74426624"/>
        <c:scaling>
          <c:orientation val="minMax"/>
          <c:max val="27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>
            <c:manualLayout>
              <c:xMode val="edge"/>
              <c:yMode val="edge"/>
              <c:x val="0.89810287918555631"/>
              <c:y val="0.859777996500437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74432896"/>
        <c:crosses val="autoZero"/>
        <c:crossBetween val="midCat"/>
      </c:valAx>
      <c:valAx>
        <c:axId val="74432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m-cresol concentration, mg/L</a:t>
                </a:r>
              </a:p>
            </c:rich>
          </c:tx>
          <c:layout>
            <c:manualLayout>
              <c:xMode val="edge"/>
              <c:yMode val="edge"/>
              <c:x val="1.4433707150242586E-3"/>
              <c:y val="0.17276793525809273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crossAx val="744266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506959357353053"/>
          <c:y val="8.2994313210848804E-3"/>
          <c:w val="0.25215262864869165"/>
          <c:h val="0.38617855059784195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tx>
            <c:v>Pse</c:v>
          </c:tx>
          <c:spPr>
            <a:ln w="28575">
              <a:solidFill>
                <a:schemeClr val="tx1"/>
              </a:solidFill>
              <a:prstDash val="sysDot"/>
            </a:ln>
          </c:spPr>
          <c:errBars>
            <c:errDir val="y"/>
            <c:errBarType val="both"/>
            <c:errValType val="cust"/>
            <c:noEndCap val="0"/>
            <c:plus>
              <c:numRef>
                <c:f>'53.1'!$AC$5:$AC$20</c:f>
                <c:numCache>
                  <c:formatCode>General</c:formatCode>
                  <c:ptCount val="9"/>
                  <c:pt idx="0">
                    <c:v>0.4014253271617681</c:v>
                  </c:pt>
                  <c:pt idx="1">
                    <c:v>1.222402850075756</c:v>
                  </c:pt>
                  <c:pt idx="2">
                    <c:v>16.901134066503346</c:v>
                  </c:pt>
                  <c:pt idx="3">
                    <c:v>1.9850340324340991</c:v>
                  </c:pt>
                  <c:pt idx="4">
                    <c:v>1.7622345516624174</c:v>
                  </c:pt>
                  <c:pt idx="5">
                    <c:v>0.1410464827010505</c:v>
                  </c:pt>
                  <c:pt idx="6">
                    <c:v>1.5212981834095614</c:v>
                  </c:pt>
                  <c:pt idx="7">
                    <c:v>10.672804966568338</c:v>
                  </c:pt>
                  <c:pt idx="8">
                    <c:v>9.791308260420724</c:v>
                  </c:pt>
                </c:numCache>
              </c:numRef>
            </c:plus>
            <c:minus>
              <c:numRef>
                <c:f>'53.1'!$AC$5:$AC$20</c:f>
                <c:numCache>
                  <c:formatCode>General</c:formatCode>
                  <c:ptCount val="9"/>
                  <c:pt idx="0">
                    <c:v>0.4014253271617681</c:v>
                  </c:pt>
                  <c:pt idx="1">
                    <c:v>1.222402850075756</c:v>
                  </c:pt>
                  <c:pt idx="2">
                    <c:v>16.901134066503346</c:v>
                  </c:pt>
                  <c:pt idx="3">
                    <c:v>1.9850340324340991</c:v>
                  </c:pt>
                  <c:pt idx="4">
                    <c:v>1.7622345516624174</c:v>
                  </c:pt>
                  <c:pt idx="5">
                    <c:v>0.1410464827010505</c:v>
                  </c:pt>
                  <c:pt idx="6">
                    <c:v>1.5212981834095614</c:v>
                  </c:pt>
                  <c:pt idx="7">
                    <c:v>10.672804966568338</c:v>
                  </c:pt>
                  <c:pt idx="8">
                    <c:v>9.791308260420724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'53.1'!$A$5:$A$20</c:f>
              <c:numCache>
                <c:formatCode>General</c:formatCode>
                <c:ptCount val="9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5">
                  <c:v>114</c:v>
                </c:pt>
                <c:pt idx="6">
                  <c:v>166</c:v>
                </c:pt>
                <c:pt idx="7">
                  <c:v>217</c:v>
                </c:pt>
                <c:pt idx="8">
                  <c:v>239</c:v>
                </c:pt>
              </c:numCache>
            </c:numRef>
          </c:xVal>
          <c:yVal>
            <c:numRef>
              <c:f>'53.1'!$AB$5:$AB$20</c:f>
              <c:numCache>
                <c:formatCode>0.0</c:formatCode>
                <c:ptCount val="9"/>
                <c:pt idx="0">
                  <c:v>45.417752442996751</c:v>
                </c:pt>
                <c:pt idx="1">
                  <c:v>33.28963083604777</c:v>
                </c:pt>
                <c:pt idx="2">
                  <c:v>25.579900994342534</c:v>
                </c:pt>
                <c:pt idx="3">
                  <c:v>38.105048859934854</c:v>
                </c:pt>
                <c:pt idx="4">
                  <c:v>34.97801302931596</c:v>
                </c:pt>
                <c:pt idx="5">
                  <c:v>32.013843648208471</c:v>
                </c:pt>
                <c:pt idx="6">
                  <c:v>27.53501628664495</c:v>
                </c:pt>
                <c:pt idx="7">
                  <c:v>14.935721326932969</c:v>
                </c:pt>
                <c:pt idx="8">
                  <c:v>13.447068403908794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58-47EF-B46E-D4D56FE739E6}"/>
            </c:ext>
          </c:extLst>
        </c:ser>
        <c:ser>
          <c:idx val="2"/>
          <c:order val="2"/>
          <c:tx>
            <c:v>Rho</c:v>
          </c:tx>
          <c:spPr>
            <a:ln w="25400" cmpd="sng">
              <a:solidFill>
                <a:schemeClr val="tx1"/>
              </a:solidFill>
              <a:prstDash val="dashDot"/>
            </a:ln>
          </c:spPr>
          <c:errBars>
            <c:errDir val="y"/>
            <c:errBarType val="both"/>
            <c:errValType val="cust"/>
            <c:noEndCap val="0"/>
            <c:plus>
              <c:numRef>
                <c:f>'54.1-4'!$AD$6:$AD$20</c:f>
                <c:numCache>
                  <c:formatCode>General</c:formatCode>
                  <c:ptCount val="10"/>
                  <c:pt idx="0">
                    <c:v>0.42313944810314735</c:v>
                  </c:pt>
                  <c:pt idx="1">
                    <c:v>0.74745764457189856</c:v>
                  </c:pt>
                  <c:pt idx="2">
                    <c:v>1.0772603058080596</c:v>
                  </c:pt>
                  <c:pt idx="3">
                    <c:v>0.20493578814524299</c:v>
                  </c:pt>
                  <c:pt idx="4">
                    <c:v>2.7281143125411993</c:v>
                  </c:pt>
                  <c:pt idx="5">
                    <c:v>1.7616700042983657</c:v>
                  </c:pt>
                  <c:pt idx="6">
                    <c:v>2.4184433884230443</c:v>
                  </c:pt>
                  <c:pt idx="7">
                    <c:v>2.0998353503096956</c:v>
                  </c:pt>
                  <c:pt idx="8">
                    <c:v>2.1881154466684722</c:v>
                  </c:pt>
                  <c:pt idx="9">
                    <c:v>0.57581985438644023</c:v>
                  </c:pt>
                </c:numCache>
              </c:numRef>
            </c:plus>
            <c:minus>
              <c:numRef>
                <c:f>'54.1-4'!$AD$6:$AD$20</c:f>
                <c:numCache>
                  <c:formatCode>General</c:formatCode>
                  <c:ptCount val="10"/>
                  <c:pt idx="0">
                    <c:v>0.42313944810314735</c:v>
                  </c:pt>
                  <c:pt idx="1">
                    <c:v>0.74745764457189856</c:v>
                  </c:pt>
                  <c:pt idx="2">
                    <c:v>1.0772603058080596</c:v>
                  </c:pt>
                  <c:pt idx="3">
                    <c:v>0.20493578814524299</c:v>
                  </c:pt>
                  <c:pt idx="4">
                    <c:v>2.7281143125411993</c:v>
                  </c:pt>
                  <c:pt idx="5">
                    <c:v>1.7616700042983657</c:v>
                  </c:pt>
                  <c:pt idx="6">
                    <c:v>2.4184433884230443</c:v>
                  </c:pt>
                  <c:pt idx="7">
                    <c:v>2.0998353503096956</c:v>
                  </c:pt>
                  <c:pt idx="8">
                    <c:v>2.1881154466684722</c:v>
                  </c:pt>
                  <c:pt idx="9">
                    <c:v>0.57581985438644023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'54.1-4'!$B$6:$B$20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49</c:v>
                </c:pt>
                <c:pt idx="3">
                  <c:v>72.5</c:v>
                </c:pt>
                <c:pt idx="4">
                  <c:v>93.5</c:v>
                </c:pt>
                <c:pt idx="5">
                  <c:v>100.5</c:v>
                </c:pt>
                <c:pt idx="6">
                  <c:v>145.5</c:v>
                </c:pt>
                <c:pt idx="7">
                  <c:v>169.5</c:v>
                </c:pt>
                <c:pt idx="8">
                  <c:v>196.5</c:v>
                </c:pt>
                <c:pt idx="9">
                  <c:v>218.5</c:v>
                </c:pt>
              </c:numCache>
            </c:numRef>
          </c:xVal>
          <c:yVal>
            <c:numRef>
              <c:f>'54.1-4'!$AC$6:$AC$20</c:f>
              <c:numCache>
                <c:formatCode>0.0</c:formatCode>
                <c:ptCount val="10"/>
                <c:pt idx="0">
                  <c:v>45.491042345276881</c:v>
                </c:pt>
                <c:pt idx="1">
                  <c:v>35.210097719869708</c:v>
                </c:pt>
                <c:pt idx="2">
                  <c:v>40.767915309446259</c:v>
                </c:pt>
                <c:pt idx="3">
                  <c:v>41.012214983713349</c:v>
                </c:pt>
                <c:pt idx="4">
                  <c:v>37.849891422366994</c:v>
                </c:pt>
                <c:pt idx="5">
                  <c:v>31.606677524429966</c:v>
                </c:pt>
                <c:pt idx="6">
                  <c:v>28.023615635179155</c:v>
                </c:pt>
                <c:pt idx="7">
                  <c:v>24.908794788273617</c:v>
                </c:pt>
                <c:pt idx="8">
                  <c:v>23.300488599348533</c:v>
                </c:pt>
                <c:pt idx="9">
                  <c:v>18.495928338762216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58-47EF-B46E-D4D56FE739E6}"/>
            </c:ext>
          </c:extLst>
        </c:ser>
        <c:ser>
          <c:idx val="3"/>
          <c:order val="3"/>
          <c:tx>
            <c:v>Acn 1st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plus>
            <c:min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'52.1'!$A$5:$A$19</c:f>
              <c:numCache>
                <c:formatCode>General</c:formatCode>
                <c:ptCount val="15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6">
                  <c:v>138</c:v>
                </c:pt>
                <c:pt idx="9">
                  <c:v>190</c:v>
                </c:pt>
                <c:pt idx="10">
                  <c:v>212.75</c:v>
                </c:pt>
                <c:pt idx="13">
                  <c:v>236.75</c:v>
                </c:pt>
                <c:pt idx="14">
                  <c:v>263.75</c:v>
                </c:pt>
              </c:numCache>
            </c:numRef>
          </c:xVal>
          <c:yVal>
            <c:numRef>
              <c:f>'52.1'!$AA$5:$AA$19</c:f>
              <c:numCache>
                <c:formatCode>0.0</c:formatCode>
                <c:ptCount val="15"/>
                <c:pt idx="0">
                  <c:v>45.491042345276874</c:v>
                </c:pt>
                <c:pt idx="1">
                  <c:v>39.940010857763298</c:v>
                </c:pt>
                <c:pt idx="3">
                  <c:v>38.189196525515747</c:v>
                </c:pt>
                <c:pt idx="4">
                  <c:v>37.307003257328994</c:v>
                </c:pt>
                <c:pt idx="6">
                  <c:v>33.174267100977197</c:v>
                </c:pt>
                <c:pt idx="9">
                  <c:v>22.974755700325733</c:v>
                </c:pt>
                <c:pt idx="10">
                  <c:v>16.704397394136809</c:v>
                </c:pt>
                <c:pt idx="13">
                  <c:v>6.7571517412935327</c:v>
                </c:pt>
                <c:pt idx="14">
                  <c:v>0.10914179104477612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358-47EF-B46E-D4D56FE739E6}"/>
            </c:ext>
          </c:extLst>
        </c:ser>
        <c:ser>
          <c:idx val="4"/>
          <c:order val="4"/>
          <c:tx>
            <c:v>Acn 2nd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'52.1'!$AB$20:$AB$24</c:f>
                <c:numCache>
                  <c:formatCode>General</c:formatCode>
                  <c:ptCount val="5"/>
                  <c:pt idx="0">
                    <c:v>0.16286644951140161</c:v>
                  </c:pt>
                  <c:pt idx="1">
                    <c:v>6.6819918320556395</c:v>
                  </c:pt>
                  <c:pt idx="3">
                    <c:v>3.6512003979327106</c:v>
                  </c:pt>
                  <c:pt idx="4">
                    <c:v>0</c:v>
                  </c:pt>
                </c:numCache>
              </c:numRef>
            </c:plus>
            <c:minus>
              <c:numRef>
                <c:f>'52.1'!$AB$20:$AB$24</c:f>
                <c:numCache>
                  <c:formatCode>General</c:formatCode>
                  <c:ptCount val="5"/>
                  <c:pt idx="0">
                    <c:v>0.16286644951140161</c:v>
                  </c:pt>
                  <c:pt idx="1">
                    <c:v>6.6819918320556395</c:v>
                  </c:pt>
                  <c:pt idx="3">
                    <c:v>3.6512003979327106</c:v>
                  </c:pt>
                  <c:pt idx="4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'52.1'!$A$20:$A$24</c:f>
              <c:numCache>
                <c:formatCode>General</c:formatCode>
                <c:ptCount val="5"/>
                <c:pt idx="0">
                  <c:v>0</c:v>
                </c:pt>
                <c:pt idx="1">
                  <c:v>21</c:v>
                </c:pt>
                <c:pt idx="3">
                  <c:v>49.5</c:v>
                </c:pt>
                <c:pt idx="4">
                  <c:v>90</c:v>
                </c:pt>
              </c:numCache>
            </c:numRef>
          </c:xVal>
          <c:yVal>
            <c:numRef>
              <c:f>'52.1'!$AA$20:$AA$24</c:f>
              <c:numCache>
                <c:formatCode>0.0</c:formatCode>
                <c:ptCount val="5"/>
                <c:pt idx="0">
                  <c:v>43.170195439739416</c:v>
                </c:pt>
                <c:pt idx="1">
                  <c:v>36.818403908794792</c:v>
                </c:pt>
                <c:pt idx="3">
                  <c:v>13.827090119435397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358-47EF-B46E-D4D56FE739E6}"/>
            </c:ext>
          </c:extLst>
        </c:ser>
        <c:ser>
          <c:idx val="0"/>
          <c:order val="0"/>
          <c:tx>
            <c:v>Acinoto 1st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plus>
            <c:min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'52.1'!$A$5:$A$19</c:f>
              <c:numCache>
                <c:formatCode>General</c:formatCode>
                <c:ptCount val="15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6">
                  <c:v>138</c:v>
                </c:pt>
                <c:pt idx="9">
                  <c:v>190</c:v>
                </c:pt>
                <c:pt idx="10">
                  <c:v>212.75</c:v>
                </c:pt>
                <c:pt idx="13">
                  <c:v>236.75</c:v>
                </c:pt>
                <c:pt idx="14">
                  <c:v>263.75</c:v>
                </c:pt>
              </c:numCache>
            </c:numRef>
          </c:xVal>
          <c:yVal>
            <c:numRef>
              <c:f>'52.1'!$AA$5:$AA$19</c:f>
              <c:numCache>
                <c:formatCode>0.0</c:formatCode>
                <c:ptCount val="15"/>
                <c:pt idx="0">
                  <c:v>45.491042345276874</c:v>
                </c:pt>
                <c:pt idx="1">
                  <c:v>39.940010857763298</c:v>
                </c:pt>
                <c:pt idx="3">
                  <c:v>38.189196525515747</c:v>
                </c:pt>
                <c:pt idx="4">
                  <c:v>37.307003257328994</c:v>
                </c:pt>
                <c:pt idx="6">
                  <c:v>33.174267100977197</c:v>
                </c:pt>
                <c:pt idx="9">
                  <c:v>22.974755700325733</c:v>
                </c:pt>
                <c:pt idx="10">
                  <c:v>16.704397394136809</c:v>
                </c:pt>
                <c:pt idx="13">
                  <c:v>6.7571517412935327</c:v>
                </c:pt>
                <c:pt idx="14">
                  <c:v>0.10914179104477612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358-47EF-B46E-D4D56FE73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263424"/>
        <c:axId val="76265344"/>
      </c:scatterChart>
      <c:valAx>
        <c:axId val="7626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6265344"/>
        <c:crosses val="autoZero"/>
        <c:crossBetween val="midCat"/>
      </c:valAx>
      <c:valAx>
        <c:axId val="762653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cresol concentration, mg/L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762634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5"/>
          <c:order val="5"/>
          <c:tx>
            <c:strRef>
              <c:f>'[1]38.1'!$A$1</c:f>
              <c:strCache>
                <c:ptCount val="1"/>
                <c:pt idx="0">
                  <c:v>Phodococcus PEIal&amp;PVAal</c:v>
                </c:pt>
              </c:strCache>
            </c:strRef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'[1]38.1'!$AB$5:$AB$13</c:f>
                <c:numCache>
                  <c:formatCode>General</c:formatCode>
                  <c:ptCount val="9"/>
                  <c:pt idx="0">
                    <c:v>0.35682251303268164</c:v>
                  </c:pt>
                  <c:pt idx="1">
                    <c:v>0.97810309216902935</c:v>
                  </c:pt>
                  <c:pt idx="2">
                    <c:v>0.8974911814412726</c:v>
                  </c:pt>
                  <c:pt idx="3">
                    <c:v>1.7139711058509124</c:v>
                  </c:pt>
                  <c:pt idx="4">
                    <c:v>1.7086429363483142</c:v>
                  </c:pt>
                  <c:pt idx="5">
                    <c:v>1.9282085380215024</c:v>
                  </c:pt>
                  <c:pt idx="6">
                    <c:v>4.0768696329271235</c:v>
                  </c:pt>
                  <c:pt idx="7">
                    <c:v>5.0498449181048368</c:v>
                  </c:pt>
                  <c:pt idx="8">
                    <c:v>9.8799195807880515</c:v>
                  </c:pt>
                </c:numCache>
              </c:numRef>
            </c:plus>
            <c:minus>
              <c:numRef>
                <c:f>'[1]38.1'!$AB$5:$AB$13</c:f>
                <c:numCache>
                  <c:formatCode>General</c:formatCode>
                  <c:ptCount val="9"/>
                  <c:pt idx="0">
                    <c:v>0.35682251303268164</c:v>
                  </c:pt>
                  <c:pt idx="1">
                    <c:v>0.97810309216902935</c:v>
                  </c:pt>
                  <c:pt idx="2">
                    <c:v>0.8974911814412726</c:v>
                  </c:pt>
                  <c:pt idx="3">
                    <c:v>1.7139711058509124</c:v>
                  </c:pt>
                  <c:pt idx="4">
                    <c:v>1.7086429363483142</c:v>
                  </c:pt>
                  <c:pt idx="5">
                    <c:v>1.9282085380215024</c:v>
                  </c:pt>
                  <c:pt idx="6">
                    <c:v>4.0768696329271235</c:v>
                  </c:pt>
                  <c:pt idx="7">
                    <c:v>5.0498449181048368</c:v>
                  </c:pt>
                  <c:pt idx="8">
                    <c:v>9.8799195807880515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'[1]38.1'!$E$5:$E$13</c:f>
              <c:numCache>
                <c:formatCode>General</c:formatCode>
                <c:ptCount val="9"/>
                <c:pt idx="0">
                  <c:v>0</c:v>
                </c:pt>
                <c:pt idx="1">
                  <c:v>26</c:v>
                </c:pt>
                <c:pt idx="2">
                  <c:v>46</c:v>
                </c:pt>
                <c:pt idx="3">
                  <c:v>70</c:v>
                </c:pt>
                <c:pt idx="4">
                  <c:v>101</c:v>
                </c:pt>
                <c:pt idx="5">
                  <c:v>116.5</c:v>
                </c:pt>
                <c:pt idx="6">
                  <c:v>146</c:v>
                </c:pt>
                <c:pt idx="7">
                  <c:v>189.5</c:v>
                </c:pt>
                <c:pt idx="8">
                  <c:v>236.5</c:v>
                </c:pt>
              </c:numCache>
            </c:numRef>
          </c:xVal>
          <c:yVal>
            <c:numRef>
              <c:f>'[1]38.1'!$AA$5:$AA$13</c:f>
              <c:numCache>
                <c:formatCode>General</c:formatCode>
                <c:ptCount val="9"/>
                <c:pt idx="0">
                  <c:v>31.376221498371336</c:v>
                </c:pt>
                <c:pt idx="1">
                  <c:v>30.371878393051034</c:v>
                </c:pt>
                <c:pt idx="2">
                  <c:v>27.98317046688382</c:v>
                </c:pt>
                <c:pt idx="3">
                  <c:v>30.68403908794788</c:v>
                </c:pt>
                <c:pt idx="4">
                  <c:v>30.663680781758959</c:v>
                </c:pt>
                <c:pt idx="5">
                  <c:v>25.974484256243215</c:v>
                </c:pt>
                <c:pt idx="6">
                  <c:v>18.021172638436482</c:v>
                </c:pt>
                <c:pt idx="7">
                  <c:v>5.846905537459282</c:v>
                </c:pt>
                <c:pt idx="8">
                  <c:v>1.155266015200868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76-479F-897A-0AB9C64A31D3}"/>
            </c:ext>
          </c:extLst>
        </c:ser>
        <c:ser>
          <c:idx val="1"/>
          <c:order val="1"/>
          <c:tx>
            <c:v>Pse</c:v>
          </c:tx>
          <c:spPr>
            <a:ln w="28575">
              <a:solidFill>
                <a:schemeClr val="tx1"/>
              </a:solidFill>
              <a:prstDash val="sysDot"/>
            </a:ln>
          </c:spPr>
          <c:errBars>
            <c:errDir val="y"/>
            <c:errBarType val="both"/>
            <c:errValType val="cust"/>
            <c:noEndCap val="0"/>
            <c:plus>
              <c:numRef>
                <c:f>'53.1'!$AC$5:$AC$20</c:f>
                <c:numCache>
                  <c:formatCode>General</c:formatCode>
                  <c:ptCount val="9"/>
                  <c:pt idx="0">
                    <c:v>0.4014253271617681</c:v>
                  </c:pt>
                  <c:pt idx="1">
                    <c:v>1.222402850075756</c:v>
                  </c:pt>
                  <c:pt idx="2">
                    <c:v>16.901134066503346</c:v>
                  </c:pt>
                  <c:pt idx="3">
                    <c:v>1.9850340324340991</c:v>
                  </c:pt>
                  <c:pt idx="4">
                    <c:v>1.7622345516624174</c:v>
                  </c:pt>
                  <c:pt idx="5">
                    <c:v>0.1410464827010505</c:v>
                  </c:pt>
                  <c:pt idx="6">
                    <c:v>1.5212981834095614</c:v>
                  </c:pt>
                  <c:pt idx="7">
                    <c:v>10.672804966568338</c:v>
                  </c:pt>
                  <c:pt idx="8">
                    <c:v>9.791308260420724</c:v>
                  </c:pt>
                </c:numCache>
              </c:numRef>
            </c:plus>
            <c:minus>
              <c:numRef>
                <c:f>'53.1'!$AC$5:$AC$20</c:f>
                <c:numCache>
                  <c:formatCode>General</c:formatCode>
                  <c:ptCount val="9"/>
                  <c:pt idx="0">
                    <c:v>0.4014253271617681</c:v>
                  </c:pt>
                  <c:pt idx="1">
                    <c:v>1.222402850075756</c:v>
                  </c:pt>
                  <c:pt idx="2">
                    <c:v>16.901134066503346</c:v>
                  </c:pt>
                  <c:pt idx="3">
                    <c:v>1.9850340324340991</c:v>
                  </c:pt>
                  <c:pt idx="4">
                    <c:v>1.7622345516624174</c:v>
                  </c:pt>
                  <c:pt idx="5">
                    <c:v>0.1410464827010505</c:v>
                  </c:pt>
                  <c:pt idx="6">
                    <c:v>1.5212981834095614</c:v>
                  </c:pt>
                  <c:pt idx="7">
                    <c:v>10.672804966568338</c:v>
                  </c:pt>
                  <c:pt idx="8">
                    <c:v>9.791308260420724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'53.1'!$A$5:$A$20</c:f>
              <c:numCache>
                <c:formatCode>General</c:formatCode>
                <c:ptCount val="9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5">
                  <c:v>114</c:v>
                </c:pt>
                <c:pt idx="6">
                  <c:v>166</c:v>
                </c:pt>
                <c:pt idx="7">
                  <c:v>217</c:v>
                </c:pt>
                <c:pt idx="8">
                  <c:v>239</c:v>
                </c:pt>
              </c:numCache>
            </c:numRef>
          </c:xVal>
          <c:yVal>
            <c:numRef>
              <c:f>'53.1'!$AB$5:$AB$20</c:f>
              <c:numCache>
                <c:formatCode>0.0</c:formatCode>
                <c:ptCount val="9"/>
                <c:pt idx="0">
                  <c:v>45.417752442996751</c:v>
                </c:pt>
                <c:pt idx="1">
                  <c:v>33.28963083604777</c:v>
                </c:pt>
                <c:pt idx="2">
                  <c:v>25.579900994342534</c:v>
                </c:pt>
                <c:pt idx="3">
                  <c:v>38.105048859934854</c:v>
                </c:pt>
                <c:pt idx="4">
                  <c:v>34.97801302931596</c:v>
                </c:pt>
                <c:pt idx="5">
                  <c:v>32.013843648208471</c:v>
                </c:pt>
                <c:pt idx="6">
                  <c:v>27.53501628664495</c:v>
                </c:pt>
                <c:pt idx="7">
                  <c:v>14.935721326932969</c:v>
                </c:pt>
                <c:pt idx="8">
                  <c:v>13.447068403908794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76-479F-897A-0AB9C64A31D3}"/>
            </c:ext>
          </c:extLst>
        </c:ser>
        <c:ser>
          <c:idx val="2"/>
          <c:order val="2"/>
          <c:tx>
            <c:v>Rho</c:v>
          </c:tx>
          <c:spPr>
            <a:ln w="25400" cmpd="sng">
              <a:solidFill>
                <a:schemeClr val="tx1"/>
              </a:solidFill>
              <a:prstDash val="dashDot"/>
            </a:ln>
          </c:spPr>
          <c:errBars>
            <c:errDir val="y"/>
            <c:errBarType val="both"/>
            <c:errValType val="cust"/>
            <c:noEndCap val="0"/>
            <c:plus>
              <c:numRef>
                <c:f>'54.1-4'!$AD$6:$AD$20</c:f>
                <c:numCache>
                  <c:formatCode>General</c:formatCode>
                  <c:ptCount val="10"/>
                  <c:pt idx="0">
                    <c:v>0.42313944810314735</c:v>
                  </c:pt>
                  <c:pt idx="1">
                    <c:v>0.74745764457189856</c:v>
                  </c:pt>
                  <c:pt idx="2">
                    <c:v>1.0772603058080596</c:v>
                  </c:pt>
                  <c:pt idx="3">
                    <c:v>0.20493578814524299</c:v>
                  </c:pt>
                  <c:pt idx="4">
                    <c:v>2.7281143125411993</c:v>
                  </c:pt>
                  <c:pt idx="5">
                    <c:v>1.7616700042983657</c:v>
                  </c:pt>
                  <c:pt idx="6">
                    <c:v>2.4184433884230443</c:v>
                  </c:pt>
                  <c:pt idx="7">
                    <c:v>2.0998353503096956</c:v>
                  </c:pt>
                  <c:pt idx="8">
                    <c:v>2.1881154466684722</c:v>
                  </c:pt>
                  <c:pt idx="9">
                    <c:v>0.57581985438644023</c:v>
                  </c:pt>
                </c:numCache>
              </c:numRef>
            </c:plus>
            <c:minus>
              <c:numRef>
                <c:f>'54.1-4'!$AD$6:$AD$20</c:f>
                <c:numCache>
                  <c:formatCode>General</c:formatCode>
                  <c:ptCount val="10"/>
                  <c:pt idx="0">
                    <c:v>0.42313944810314735</c:v>
                  </c:pt>
                  <c:pt idx="1">
                    <c:v>0.74745764457189856</c:v>
                  </c:pt>
                  <c:pt idx="2">
                    <c:v>1.0772603058080596</c:v>
                  </c:pt>
                  <c:pt idx="3">
                    <c:v>0.20493578814524299</c:v>
                  </c:pt>
                  <c:pt idx="4">
                    <c:v>2.7281143125411993</c:v>
                  </c:pt>
                  <c:pt idx="5">
                    <c:v>1.7616700042983657</c:v>
                  </c:pt>
                  <c:pt idx="6">
                    <c:v>2.4184433884230443</c:v>
                  </c:pt>
                  <c:pt idx="7">
                    <c:v>2.0998353503096956</c:v>
                  </c:pt>
                  <c:pt idx="8">
                    <c:v>2.1881154466684722</c:v>
                  </c:pt>
                  <c:pt idx="9">
                    <c:v>0.57581985438644023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'54.1-4'!$B$6:$B$20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49</c:v>
                </c:pt>
                <c:pt idx="3">
                  <c:v>72.5</c:v>
                </c:pt>
                <c:pt idx="4">
                  <c:v>93.5</c:v>
                </c:pt>
                <c:pt idx="5">
                  <c:v>100.5</c:v>
                </c:pt>
                <c:pt idx="6">
                  <c:v>145.5</c:v>
                </c:pt>
                <c:pt idx="7">
                  <c:v>169.5</c:v>
                </c:pt>
                <c:pt idx="8">
                  <c:v>196.5</c:v>
                </c:pt>
                <c:pt idx="9">
                  <c:v>218.5</c:v>
                </c:pt>
              </c:numCache>
            </c:numRef>
          </c:xVal>
          <c:yVal>
            <c:numRef>
              <c:f>'54.1-4'!$AC$6:$AC$20</c:f>
              <c:numCache>
                <c:formatCode>0.0</c:formatCode>
                <c:ptCount val="10"/>
                <c:pt idx="0">
                  <c:v>45.491042345276881</c:v>
                </c:pt>
                <c:pt idx="1">
                  <c:v>35.210097719869708</c:v>
                </c:pt>
                <c:pt idx="2">
                  <c:v>40.767915309446259</c:v>
                </c:pt>
                <c:pt idx="3">
                  <c:v>41.012214983713349</c:v>
                </c:pt>
                <c:pt idx="4">
                  <c:v>37.849891422366994</c:v>
                </c:pt>
                <c:pt idx="5">
                  <c:v>31.606677524429966</c:v>
                </c:pt>
                <c:pt idx="6">
                  <c:v>28.023615635179155</c:v>
                </c:pt>
                <c:pt idx="7">
                  <c:v>24.908794788273617</c:v>
                </c:pt>
                <c:pt idx="8">
                  <c:v>23.300488599348533</c:v>
                </c:pt>
                <c:pt idx="9">
                  <c:v>18.495928338762216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076-479F-897A-0AB9C64A31D3}"/>
            </c:ext>
          </c:extLst>
        </c:ser>
        <c:ser>
          <c:idx val="3"/>
          <c:order val="3"/>
          <c:tx>
            <c:v>Acn 1st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plus>
            <c:min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'52.1'!$A$5:$A$19</c:f>
              <c:numCache>
                <c:formatCode>General</c:formatCode>
                <c:ptCount val="15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6">
                  <c:v>138</c:v>
                </c:pt>
                <c:pt idx="9">
                  <c:v>190</c:v>
                </c:pt>
                <c:pt idx="10">
                  <c:v>212.75</c:v>
                </c:pt>
                <c:pt idx="13">
                  <c:v>236.75</c:v>
                </c:pt>
                <c:pt idx="14">
                  <c:v>263.75</c:v>
                </c:pt>
              </c:numCache>
            </c:numRef>
          </c:xVal>
          <c:yVal>
            <c:numRef>
              <c:f>'52.1'!$AA$5:$AA$19</c:f>
              <c:numCache>
                <c:formatCode>0.0</c:formatCode>
                <c:ptCount val="15"/>
                <c:pt idx="0">
                  <c:v>45.491042345276874</c:v>
                </c:pt>
                <c:pt idx="1">
                  <c:v>39.940010857763298</c:v>
                </c:pt>
                <c:pt idx="3">
                  <c:v>38.189196525515747</c:v>
                </c:pt>
                <c:pt idx="4">
                  <c:v>37.307003257328994</c:v>
                </c:pt>
                <c:pt idx="6">
                  <c:v>33.174267100977197</c:v>
                </c:pt>
                <c:pt idx="9">
                  <c:v>22.974755700325733</c:v>
                </c:pt>
                <c:pt idx="10">
                  <c:v>16.704397394136809</c:v>
                </c:pt>
                <c:pt idx="13">
                  <c:v>6.7571517412935327</c:v>
                </c:pt>
                <c:pt idx="14">
                  <c:v>0.10914179104477612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076-479F-897A-0AB9C64A31D3}"/>
            </c:ext>
          </c:extLst>
        </c:ser>
        <c:ser>
          <c:idx val="4"/>
          <c:order val="4"/>
          <c:tx>
            <c:v>Acn 2nd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'52.1'!$AB$20:$AB$24</c:f>
                <c:numCache>
                  <c:formatCode>General</c:formatCode>
                  <c:ptCount val="5"/>
                  <c:pt idx="0">
                    <c:v>0.16286644951140161</c:v>
                  </c:pt>
                  <c:pt idx="1">
                    <c:v>6.6819918320556395</c:v>
                  </c:pt>
                  <c:pt idx="3">
                    <c:v>3.6512003979327106</c:v>
                  </c:pt>
                  <c:pt idx="4">
                    <c:v>0</c:v>
                  </c:pt>
                </c:numCache>
              </c:numRef>
            </c:plus>
            <c:minus>
              <c:numRef>
                <c:f>'52.1'!$AB$20:$AB$24</c:f>
                <c:numCache>
                  <c:formatCode>General</c:formatCode>
                  <c:ptCount val="5"/>
                  <c:pt idx="0">
                    <c:v>0.16286644951140161</c:v>
                  </c:pt>
                  <c:pt idx="1">
                    <c:v>6.6819918320556395</c:v>
                  </c:pt>
                  <c:pt idx="3">
                    <c:v>3.6512003979327106</c:v>
                  </c:pt>
                  <c:pt idx="4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'52.1'!$A$20:$A$24</c:f>
              <c:numCache>
                <c:formatCode>General</c:formatCode>
                <c:ptCount val="5"/>
                <c:pt idx="0">
                  <c:v>0</c:v>
                </c:pt>
                <c:pt idx="1">
                  <c:v>21</c:v>
                </c:pt>
                <c:pt idx="3">
                  <c:v>49.5</c:v>
                </c:pt>
                <c:pt idx="4">
                  <c:v>90</c:v>
                </c:pt>
              </c:numCache>
            </c:numRef>
          </c:xVal>
          <c:yVal>
            <c:numRef>
              <c:f>'52.1'!$AA$20:$AA$24</c:f>
              <c:numCache>
                <c:formatCode>0.0</c:formatCode>
                <c:ptCount val="5"/>
                <c:pt idx="0">
                  <c:v>43.170195439739416</c:v>
                </c:pt>
                <c:pt idx="1">
                  <c:v>36.818403908794792</c:v>
                </c:pt>
                <c:pt idx="3">
                  <c:v>13.827090119435397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076-479F-897A-0AB9C64A31D3}"/>
            </c:ext>
          </c:extLst>
        </c:ser>
        <c:ser>
          <c:idx val="0"/>
          <c:order val="0"/>
          <c:tx>
            <c:v>Acinoto 1st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plus>
            <c:min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'52.1'!$A$5:$A$19</c:f>
              <c:numCache>
                <c:formatCode>General</c:formatCode>
                <c:ptCount val="15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6">
                  <c:v>138</c:v>
                </c:pt>
                <c:pt idx="9">
                  <c:v>190</c:v>
                </c:pt>
                <c:pt idx="10">
                  <c:v>212.75</c:v>
                </c:pt>
                <c:pt idx="13">
                  <c:v>236.75</c:v>
                </c:pt>
                <c:pt idx="14">
                  <c:v>263.75</c:v>
                </c:pt>
              </c:numCache>
            </c:numRef>
          </c:xVal>
          <c:yVal>
            <c:numRef>
              <c:f>'52.1'!$AA$5:$AA$19</c:f>
              <c:numCache>
                <c:formatCode>0.0</c:formatCode>
                <c:ptCount val="15"/>
                <c:pt idx="0">
                  <c:v>45.491042345276874</c:v>
                </c:pt>
                <c:pt idx="1">
                  <c:v>39.940010857763298</c:v>
                </c:pt>
                <c:pt idx="3">
                  <c:v>38.189196525515747</c:v>
                </c:pt>
                <c:pt idx="4">
                  <c:v>37.307003257328994</c:v>
                </c:pt>
                <c:pt idx="6">
                  <c:v>33.174267100977197</c:v>
                </c:pt>
                <c:pt idx="9">
                  <c:v>22.974755700325733</c:v>
                </c:pt>
                <c:pt idx="10">
                  <c:v>16.704397394136809</c:v>
                </c:pt>
                <c:pt idx="13">
                  <c:v>6.7571517412935327</c:v>
                </c:pt>
                <c:pt idx="14">
                  <c:v>0.10914179104477612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076-479F-897A-0AB9C64A3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739008"/>
        <c:axId val="87741184"/>
      </c:scatterChart>
      <c:valAx>
        <c:axId val="8773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7741184"/>
        <c:crosses val="autoZero"/>
        <c:crossBetween val="midCat"/>
      </c:valAx>
      <c:valAx>
        <c:axId val="877411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cresol concentration, mg/L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77390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5"/>
          <c:order val="5"/>
          <c:tx>
            <c:strRef>
              <c:f>'[1]39.1'!$A$1</c:f>
              <c:strCache>
                <c:ptCount val="1"/>
                <c:pt idx="0">
                  <c:v>Rho ****</c:v>
                </c:pt>
              </c:strCache>
            </c:strRef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'[1]39.1'!$AB$5:$AB$12</c:f>
                <c:numCache>
                  <c:formatCode>General</c:formatCode>
                  <c:ptCount val="8"/>
                  <c:pt idx="0">
                    <c:v>0.35682251303268164</c:v>
                  </c:pt>
                  <c:pt idx="1">
                    <c:v>1.0114343082235941</c:v>
                  </c:pt>
                  <c:pt idx="2">
                    <c:v>0.63705560962892405</c:v>
                  </c:pt>
                  <c:pt idx="3">
                    <c:v>1.0222491887975329</c:v>
                  </c:pt>
                  <c:pt idx="4">
                    <c:v>0</c:v>
                  </c:pt>
                  <c:pt idx="5">
                    <c:v>1.1385129809225578</c:v>
                  </c:pt>
                  <c:pt idx="6">
                    <c:v>1.8808548321279783</c:v>
                  </c:pt>
                  <c:pt idx="7">
                    <c:v>1.5388509546436056</c:v>
                  </c:pt>
                </c:numCache>
              </c:numRef>
            </c:plus>
            <c:minus>
              <c:numRef>
                <c:f>'[1]39.1'!$AB$5:$AB$12</c:f>
                <c:numCache>
                  <c:formatCode>General</c:formatCode>
                  <c:ptCount val="8"/>
                  <c:pt idx="0">
                    <c:v>0.35682251303268164</c:v>
                  </c:pt>
                  <c:pt idx="1">
                    <c:v>1.0114343082235941</c:v>
                  </c:pt>
                  <c:pt idx="2">
                    <c:v>0.63705560962892405</c:v>
                  </c:pt>
                  <c:pt idx="3">
                    <c:v>1.0222491887975329</c:v>
                  </c:pt>
                  <c:pt idx="4">
                    <c:v>0</c:v>
                  </c:pt>
                  <c:pt idx="5">
                    <c:v>1.1385129809225578</c:v>
                  </c:pt>
                  <c:pt idx="6">
                    <c:v>1.8808548321279783</c:v>
                  </c:pt>
                  <c:pt idx="7">
                    <c:v>1.5388509546436056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'[1]39.1'!$E$5:$E$13</c:f>
              <c:numCache>
                <c:formatCode>General</c:formatCode>
                <c:ptCount val="9"/>
                <c:pt idx="0">
                  <c:v>0</c:v>
                </c:pt>
                <c:pt idx="1">
                  <c:v>26</c:v>
                </c:pt>
                <c:pt idx="2">
                  <c:v>46</c:v>
                </c:pt>
                <c:pt idx="3">
                  <c:v>70</c:v>
                </c:pt>
                <c:pt idx="4">
                  <c:v>116.5</c:v>
                </c:pt>
                <c:pt idx="5">
                  <c:v>116.5</c:v>
                </c:pt>
                <c:pt idx="6">
                  <c:v>146</c:v>
                </c:pt>
                <c:pt idx="7">
                  <c:v>189.5</c:v>
                </c:pt>
                <c:pt idx="8">
                  <c:v>236.5</c:v>
                </c:pt>
              </c:numCache>
            </c:numRef>
          </c:xVal>
          <c:yVal>
            <c:numRef>
              <c:f>'[1]39.1'!$AA$5:$AA$12</c:f>
              <c:numCache>
                <c:formatCode>General</c:formatCode>
                <c:ptCount val="8"/>
                <c:pt idx="0">
                  <c:v>31.376221498371336</c:v>
                </c:pt>
                <c:pt idx="1">
                  <c:v>31.240499457111834</c:v>
                </c:pt>
                <c:pt idx="2">
                  <c:v>30.480456026058633</c:v>
                </c:pt>
                <c:pt idx="3">
                  <c:v>32.821661237785015</c:v>
                </c:pt>
                <c:pt idx="4">
                  <c:v>-8.8517915309446256</c:v>
                </c:pt>
                <c:pt idx="5">
                  <c:v>28.878935939196527</c:v>
                </c:pt>
                <c:pt idx="6">
                  <c:v>20.02985884907709</c:v>
                </c:pt>
                <c:pt idx="7">
                  <c:v>4.1368078175895766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A7-49E2-A337-D38E02CD7213}"/>
            </c:ext>
          </c:extLst>
        </c:ser>
        <c:ser>
          <c:idx val="1"/>
          <c:order val="1"/>
          <c:tx>
            <c:v>Pse</c:v>
          </c:tx>
          <c:spPr>
            <a:ln w="28575">
              <a:solidFill>
                <a:schemeClr val="tx1"/>
              </a:solidFill>
              <a:prstDash val="sysDot"/>
            </a:ln>
          </c:spPr>
          <c:errBars>
            <c:errDir val="y"/>
            <c:errBarType val="both"/>
            <c:errValType val="cust"/>
            <c:noEndCap val="0"/>
            <c:plus>
              <c:numRef>
                <c:f>'53.1'!$AC$5:$AC$20</c:f>
                <c:numCache>
                  <c:formatCode>General</c:formatCode>
                  <c:ptCount val="9"/>
                  <c:pt idx="0">
                    <c:v>0.4014253271617681</c:v>
                  </c:pt>
                  <c:pt idx="1">
                    <c:v>1.222402850075756</c:v>
                  </c:pt>
                  <c:pt idx="2">
                    <c:v>16.901134066503346</c:v>
                  </c:pt>
                  <c:pt idx="3">
                    <c:v>1.9850340324340991</c:v>
                  </c:pt>
                  <c:pt idx="4">
                    <c:v>1.7622345516624174</c:v>
                  </c:pt>
                  <c:pt idx="5">
                    <c:v>0.1410464827010505</c:v>
                  </c:pt>
                  <c:pt idx="6">
                    <c:v>1.5212981834095614</c:v>
                  </c:pt>
                  <c:pt idx="7">
                    <c:v>10.672804966568338</c:v>
                  </c:pt>
                  <c:pt idx="8">
                    <c:v>9.791308260420724</c:v>
                  </c:pt>
                </c:numCache>
              </c:numRef>
            </c:plus>
            <c:minus>
              <c:numRef>
                <c:f>'53.1'!$AC$5:$AC$20</c:f>
                <c:numCache>
                  <c:formatCode>General</c:formatCode>
                  <c:ptCount val="9"/>
                  <c:pt idx="0">
                    <c:v>0.4014253271617681</c:v>
                  </c:pt>
                  <c:pt idx="1">
                    <c:v>1.222402850075756</c:v>
                  </c:pt>
                  <c:pt idx="2">
                    <c:v>16.901134066503346</c:v>
                  </c:pt>
                  <c:pt idx="3">
                    <c:v>1.9850340324340991</c:v>
                  </c:pt>
                  <c:pt idx="4">
                    <c:v>1.7622345516624174</c:v>
                  </c:pt>
                  <c:pt idx="5">
                    <c:v>0.1410464827010505</c:v>
                  </c:pt>
                  <c:pt idx="6">
                    <c:v>1.5212981834095614</c:v>
                  </c:pt>
                  <c:pt idx="7">
                    <c:v>10.672804966568338</c:v>
                  </c:pt>
                  <c:pt idx="8">
                    <c:v>9.791308260420724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'53.1'!$A$5:$A$20</c:f>
              <c:numCache>
                <c:formatCode>General</c:formatCode>
                <c:ptCount val="9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5">
                  <c:v>114</c:v>
                </c:pt>
                <c:pt idx="6">
                  <c:v>166</c:v>
                </c:pt>
                <c:pt idx="7">
                  <c:v>217</c:v>
                </c:pt>
                <c:pt idx="8">
                  <c:v>239</c:v>
                </c:pt>
              </c:numCache>
            </c:numRef>
          </c:xVal>
          <c:yVal>
            <c:numRef>
              <c:f>'53.1'!$AB$5:$AB$20</c:f>
              <c:numCache>
                <c:formatCode>0.0</c:formatCode>
                <c:ptCount val="9"/>
                <c:pt idx="0">
                  <c:v>45.417752442996751</c:v>
                </c:pt>
                <c:pt idx="1">
                  <c:v>33.28963083604777</c:v>
                </c:pt>
                <c:pt idx="2">
                  <c:v>25.579900994342534</c:v>
                </c:pt>
                <c:pt idx="3">
                  <c:v>38.105048859934854</c:v>
                </c:pt>
                <c:pt idx="4">
                  <c:v>34.97801302931596</c:v>
                </c:pt>
                <c:pt idx="5">
                  <c:v>32.013843648208471</c:v>
                </c:pt>
                <c:pt idx="6">
                  <c:v>27.53501628664495</c:v>
                </c:pt>
                <c:pt idx="7">
                  <c:v>14.935721326932969</c:v>
                </c:pt>
                <c:pt idx="8">
                  <c:v>13.447068403908794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A7-49E2-A337-D38E02CD7213}"/>
            </c:ext>
          </c:extLst>
        </c:ser>
        <c:ser>
          <c:idx val="2"/>
          <c:order val="2"/>
          <c:tx>
            <c:v>Rho</c:v>
          </c:tx>
          <c:spPr>
            <a:ln w="25400" cmpd="sng">
              <a:solidFill>
                <a:schemeClr val="tx1"/>
              </a:solidFill>
              <a:prstDash val="dashDot"/>
            </a:ln>
          </c:spPr>
          <c:errBars>
            <c:errDir val="y"/>
            <c:errBarType val="both"/>
            <c:errValType val="cust"/>
            <c:noEndCap val="0"/>
            <c:plus>
              <c:numRef>
                <c:f>'54.1-4'!$AD$6:$AD$20</c:f>
                <c:numCache>
                  <c:formatCode>General</c:formatCode>
                  <c:ptCount val="10"/>
                  <c:pt idx="0">
                    <c:v>0.42313944810314735</c:v>
                  </c:pt>
                  <c:pt idx="1">
                    <c:v>0.74745764457189856</c:v>
                  </c:pt>
                  <c:pt idx="2">
                    <c:v>1.0772603058080596</c:v>
                  </c:pt>
                  <c:pt idx="3">
                    <c:v>0.20493578814524299</c:v>
                  </c:pt>
                  <c:pt idx="4">
                    <c:v>2.7281143125411993</c:v>
                  </c:pt>
                  <c:pt idx="5">
                    <c:v>1.7616700042983657</c:v>
                  </c:pt>
                  <c:pt idx="6">
                    <c:v>2.4184433884230443</c:v>
                  </c:pt>
                  <c:pt idx="7">
                    <c:v>2.0998353503096956</c:v>
                  </c:pt>
                  <c:pt idx="8">
                    <c:v>2.1881154466684722</c:v>
                  </c:pt>
                  <c:pt idx="9">
                    <c:v>0.57581985438644023</c:v>
                  </c:pt>
                </c:numCache>
              </c:numRef>
            </c:plus>
            <c:minus>
              <c:numRef>
                <c:f>'54.1-4'!$AD$6:$AD$20</c:f>
                <c:numCache>
                  <c:formatCode>General</c:formatCode>
                  <c:ptCount val="10"/>
                  <c:pt idx="0">
                    <c:v>0.42313944810314735</c:v>
                  </c:pt>
                  <c:pt idx="1">
                    <c:v>0.74745764457189856</c:v>
                  </c:pt>
                  <c:pt idx="2">
                    <c:v>1.0772603058080596</c:v>
                  </c:pt>
                  <c:pt idx="3">
                    <c:v>0.20493578814524299</c:v>
                  </c:pt>
                  <c:pt idx="4">
                    <c:v>2.7281143125411993</c:v>
                  </c:pt>
                  <c:pt idx="5">
                    <c:v>1.7616700042983657</c:v>
                  </c:pt>
                  <c:pt idx="6">
                    <c:v>2.4184433884230443</c:v>
                  </c:pt>
                  <c:pt idx="7">
                    <c:v>2.0998353503096956</c:v>
                  </c:pt>
                  <c:pt idx="8">
                    <c:v>2.1881154466684722</c:v>
                  </c:pt>
                  <c:pt idx="9">
                    <c:v>0.57581985438644023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'54.1-4'!$B$6:$B$20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49</c:v>
                </c:pt>
                <c:pt idx="3">
                  <c:v>72.5</c:v>
                </c:pt>
                <c:pt idx="4">
                  <c:v>93.5</c:v>
                </c:pt>
                <c:pt idx="5">
                  <c:v>100.5</c:v>
                </c:pt>
                <c:pt idx="6">
                  <c:v>145.5</c:v>
                </c:pt>
                <c:pt idx="7">
                  <c:v>169.5</c:v>
                </c:pt>
                <c:pt idx="8">
                  <c:v>196.5</c:v>
                </c:pt>
                <c:pt idx="9">
                  <c:v>218.5</c:v>
                </c:pt>
              </c:numCache>
            </c:numRef>
          </c:xVal>
          <c:yVal>
            <c:numRef>
              <c:f>'54.1-4'!$AC$6:$AC$20</c:f>
              <c:numCache>
                <c:formatCode>0.0</c:formatCode>
                <c:ptCount val="10"/>
                <c:pt idx="0">
                  <c:v>45.491042345276881</c:v>
                </c:pt>
                <c:pt idx="1">
                  <c:v>35.210097719869708</c:v>
                </c:pt>
                <c:pt idx="2">
                  <c:v>40.767915309446259</c:v>
                </c:pt>
                <c:pt idx="3">
                  <c:v>41.012214983713349</c:v>
                </c:pt>
                <c:pt idx="4">
                  <c:v>37.849891422366994</c:v>
                </c:pt>
                <c:pt idx="5">
                  <c:v>31.606677524429966</c:v>
                </c:pt>
                <c:pt idx="6">
                  <c:v>28.023615635179155</c:v>
                </c:pt>
                <c:pt idx="7">
                  <c:v>24.908794788273617</c:v>
                </c:pt>
                <c:pt idx="8">
                  <c:v>23.300488599348533</c:v>
                </c:pt>
                <c:pt idx="9">
                  <c:v>18.495928338762216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A7-49E2-A337-D38E02CD7213}"/>
            </c:ext>
          </c:extLst>
        </c:ser>
        <c:ser>
          <c:idx val="3"/>
          <c:order val="3"/>
          <c:tx>
            <c:v>Acn 1st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plus>
            <c:min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'52.1'!$A$5:$A$19</c:f>
              <c:numCache>
                <c:formatCode>General</c:formatCode>
                <c:ptCount val="15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6">
                  <c:v>138</c:v>
                </c:pt>
                <c:pt idx="9">
                  <c:v>190</c:v>
                </c:pt>
                <c:pt idx="10">
                  <c:v>212.75</c:v>
                </c:pt>
                <c:pt idx="13">
                  <c:v>236.75</c:v>
                </c:pt>
                <c:pt idx="14">
                  <c:v>263.75</c:v>
                </c:pt>
              </c:numCache>
            </c:numRef>
          </c:xVal>
          <c:yVal>
            <c:numRef>
              <c:f>'52.1'!$AA$5:$AA$19</c:f>
              <c:numCache>
                <c:formatCode>0.0</c:formatCode>
                <c:ptCount val="15"/>
                <c:pt idx="0">
                  <c:v>45.491042345276874</c:v>
                </c:pt>
                <c:pt idx="1">
                  <c:v>39.940010857763298</c:v>
                </c:pt>
                <c:pt idx="3">
                  <c:v>38.189196525515747</c:v>
                </c:pt>
                <c:pt idx="4">
                  <c:v>37.307003257328994</c:v>
                </c:pt>
                <c:pt idx="6">
                  <c:v>33.174267100977197</c:v>
                </c:pt>
                <c:pt idx="9">
                  <c:v>22.974755700325733</c:v>
                </c:pt>
                <c:pt idx="10">
                  <c:v>16.704397394136809</c:v>
                </c:pt>
                <c:pt idx="13">
                  <c:v>6.7571517412935327</c:v>
                </c:pt>
                <c:pt idx="14">
                  <c:v>0.10914179104477612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A7-49E2-A337-D38E02CD7213}"/>
            </c:ext>
          </c:extLst>
        </c:ser>
        <c:ser>
          <c:idx val="4"/>
          <c:order val="4"/>
          <c:tx>
            <c:v>Acn 2nd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'52.1'!$AB$20:$AB$24</c:f>
                <c:numCache>
                  <c:formatCode>General</c:formatCode>
                  <c:ptCount val="5"/>
                  <c:pt idx="0">
                    <c:v>0.16286644951140161</c:v>
                  </c:pt>
                  <c:pt idx="1">
                    <c:v>6.6819918320556395</c:v>
                  </c:pt>
                  <c:pt idx="3">
                    <c:v>3.6512003979327106</c:v>
                  </c:pt>
                  <c:pt idx="4">
                    <c:v>0</c:v>
                  </c:pt>
                </c:numCache>
              </c:numRef>
            </c:plus>
            <c:minus>
              <c:numRef>
                <c:f>'52.1'!$AB$20:$AB$24</c:f>
                <c:numCache>
                  <c:formatCode>General</c:formatCode>
                  <c:ptCount val="5"/>
                  <c:pt idx="0">
                    <c:v>0.16286644951140161</c:v>
                  </c:pt>
                  <c:pt idx="1">
                    <c:v>6.6819918320556395</c:v>
                  </c:pt>
                  <c:pt idx="3">
                    <c:v>3.6512003979327106</c:v>
                  </c:pt>
                  <c:pt idx="4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'52.1'!$A$20:$A$24</c:f>
              <c:numCache>
                <c:formatCode>General</c:formatCode>
                <c:ptCount val="5"/>
                <c:pt idx="0">
                  <c:v>0</c:v>
                </c:pt>
                <c:pt idx="1">
                  <c:v>21</c:v>
                </c:pt>
                <c:pt idx="3">
                  <c:v>49.5</c:v>
                </c:pt>
                <c:pt idx="4">
                  <c:v>90</c:v>
                </c:pt>
              </c:numCache>
            </c:numRef>
          </c:xVal>
          <c:yVal>
            <c:numRef>
              <c:f>'52.1'!$AA$20:$AA$24</c:f>
              <c:numCache>
                <c:formatCode>0.0</c:formatCode>
                <c:ptCount val="5"/>
                <c:pt idx="0">
                  <c:v>43.170195439739416</c:v>
                </c:pt>
                <c:pt idx="1">
                  <c:v>36.818403908794792</c:v>
                </c:pt>
                <c:pt idx="3">
                  <c:v>13.827090119435397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DA7-49E2-A337-D38E02CD7213}"/>
            </c:ext>
          </c:extLst>
        </c:ser>
        <c:ser>
          <c:idx val="0"/>
          <c:order val="0"/>
          <c:tx>
            <c:v>Acinoto 1st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plus>
            <c:min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'52.1'!$A$5:$A$19</c:f>
              <c:numCache>
                <c:formatCode>General</c:formatCode>
                <c:ptCount val="15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6">
                  <c:v>138</c:v>
                </c:pt>
                <c:pt idx="9">
                  <c:v>190</c:v>
                </c:pt>
                <c:pt idx="10">
                  <c:v>212.75</c:v>
                </c:pt>
                <c:pt idx="13">
                  <c:v>236.75</c:v>
                </c:pt>
                <c:pt idx="14">
                  <c:v>263.75</c:v>
                </c:pt>
              </c:numCache>
            </c:numRef>
          </c:xVal>
          <c:yVal>
            <c:numRef>
              <c:f>'52.1'!$AA$5:$AA$19</c:f>
              <c:numCache>
                <c:formatCode>0.0</c:formatCode>
                <c:ptCount val="15"/>
                <c:pt idx="0">
                  <c:v>45.491042345276874</c:v>
                </c:pt>
                <c:pt idx="1">
                  <c:v>39.940010857763298</c:v>
                </c:pt>
                <c:pt idx="3">
                  <c:v>38.189196525515747</c:v>
                </c:pt>
                <c:pt idx="4">
                  <c:v>37.307003257328994</c:v>
                </c:pt>
                <c:pt idx="6">
                  <c:v>33.174267100977197</c:v>
                </c:pt>
                <c:pt idx="9">
                  <c:v>22.974755700325733</c:v>
                </c:pt>
                <c:pt idx="10">
                  <c:v>16.704397394136809</c:v>
                </c:pt>
                <c:pt idx="13">
                  <c:v>6.7571517412935327</c:v>
                </c:pt>
                <c:pt idx="14">
                  <c:v>0.10914179104477612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DA7-49E2-A337-D38E02CD7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851968"/>
        <c:axId val="88853888"/>
      </c:scatterChart>
      <c:valAx>
        <c:axId val="8885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8853888"/>
        <c:crosses val="autoZero"/>
        <c:crossBetween val="midCat"/>
      </c:valAx>
      <c:valAx>
        <c:axId val="888538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cresol concentration, mg/L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88519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Acinoto 1st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plus>
            <c:min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'52.1'!$A$5:$A$19</c:f>
              <c:numCache>
                <c:formatCode>General</c:formatCode>
                <c:ptCount val="15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6">
                  <c:v>138</c:v>
                </c:pt>
                <c:pt idx="9">
                  <c:v>190</c:v>
                </c:pt>
                <c:pt idx="10">
                  <c:v>212.75</c:v>
                </c:pt>
                <c:pt idx="13">
                  <c:v>236.75</c:v>
                </c:pt>
                <c:pt idx="14">
                  <c:v>263.75</c:v>
                </c:pt>
              </c:numCache>
            </c:numRef>
          </c:xVal>
          <c:yVal>
            <c:numRef>
              <c:f>'52.1'!$AA$5:$AA$19</c:f>
              <c:numCache>
                <c:formatCode>0.0</c:formatCode>
                <c:ptCount val="15"/>
                <c:pt idx="0">
                  <c:v>45.491042345276874</c:v>
                </c:pt>
                <c:pt idx="1">
                  <c:v>39.940010857763298</c:v>
                </c:pt>
                <c:pt idx="3">
                  <c:v>38.189196525515747</c:v>
                </c:pt>
                <c:pt idx="4">
                  <c:v>37.307003257328994</c:v>
                </c:pt>
                <c:pt idx="6">
                  <c:v>33.174267100977197</c:v>
                </c:pt>
                <c:pt idx="9">
                  <c:v>22.974755700325733</c:v>
                </c:pt>
                <c:pt idx="10">
                  <c:v>16.704397394136809</c:v>
                </c:pt>
                <c:pt idx="13">
                  <c:v>6.7571517412935327</c:v>
                </c:pt>
                <c:pt idx="14">
                  <c:v>0.10914179104477612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18-40FA-AA78-EB4D80B02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846208"/>
        <c:axId val="76848128"/>
      </c:scatterChart>
      <c:valAx>
        <c:axId val="7684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6848128"/>
        <c:crosses val="autoZero"/>
        <c:crossBetween val="midCat"/>
      </c:valAx>
      <c:valAx>
        <c:axId val="768481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cresol concentration, mg/L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768462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Acinoto 2nd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'52.1'!$AB$20:$AB$24</c:f>
                <c:numCache>
                  <c:formatCode>General</c:formatCode>
                  <c:ptCount val="5"/>
                  <c:pt idx="0">
                    <c:v>0.16286644951140161</c:v>
                  </c:pt>
                  <c:pt idx="1">
                    <c:v>6.6819918320556395</c:v>
                  </c:pt>
                  <c:pt idx="3">
                    <c:v>3.6512003979327106</c:v>
                  </c:pt>
                  <c:pt idx="4">
                    <c:v>0</c:v>
                  </c:pt>
                </c:numCache>
              </c:numRef>
            </c:plus>
            <c:minus>
              <c:numRef>
                <c:f>'52.1'!$AB$20:$AB$24</c:f>
                <c:numCache>
                  <c:formatCode>General</c:formatCode>
                  <c:ptCount val="5"/>
                  <c:pt idx="0">
                    <c:v>0.16286644951140161</c:v>
                  </c:pt>
                  <c:pt idx="1">
                    <c:v>6.6819918320556395</c:v>
                  </c:pt>
                  <c:pt idx="3">
                    <c:v>3.6512003979327106</c:v>
                  </c:pt>
                  <c:pt idx="4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'52.1'!$A$20:$A$24</c:f>
              <c:numCache>
                <c:formatCode>General</c:formatCode>
                <c:ptCount val="5"/>
                <c:pt idx="0">
                  <c:v>0</c:v>
                </c:pt>
                <c:pt idx="1">
                  <c:v>21</c:v>
                </c:pt>
                <c:pt idx="3">
                  <c:v>49.5</c:v>
                </c:pt>
                <c:pt idx="4">
                  <c:v>90</c:v>
                </c:pt>
              </c:numCache>
            </c:numRef>
          </c:xVal>
          <c:yVal>
            <c:numRef>
              <c:f>'52.1'!$AA$20:$AA$24</c:f>
              <c:numCache>
                <c:formatCode>0.0</c:formatCode>
                <c:ptCount val="5"/>
                <c:pt idx="0">
                  <c:v>43.170195439739416</c:v>
                </c:pt>
                <c:pt idx="1">
                  <c:v>36.818403908794792</c:v>
                </c:pt>
                <c:pt idx="3">
                  <c:v>13.827090119435397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89-4C12-9852-815E8B6D5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570624"/>
        <c:axId val="76572544"/>
      </c:scatterChart>
      <c:valAx>
        <c:axId val="7657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6572544"/>
        <c:crosses val="autoZero"/>
        <c:crossBetween val="midCat"/>
      </c:valAx>
      <c:valAx>
        <c:axId val="765725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cresol concentration, mg/L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765706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2"/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'48.1-3'!$AA$11:$AA$14</c:f>
                <c:numCache>
                  <c:formatCode>General</c:formatCode>
                  <c:ptCount val="4"/>
                  <c:pt idx="0">
                    <c:v>1.556721137788958E-14</c:v>
                  </c:pt>
                  <c:pt idx="1">
                    <c:v>4.4572513798441271</c:v>
                  </c:pt>
                  <c:pt idx="2">
                    <c:v>0.84406238783279042</c:v>
                  </c:pt>
                  <c:pt idx="3">
                    <c:v>1.2674289783008355</c:v>
                  </c:pt>
                </c:numCache>
              </c:numRef>
            </c:plus>
            <c:minus>
              <c:numRef>
                <c:f>'48.1-3'!$AA$11:$AA$14</c:f>
                <c:numCache>
                  <c:formatCode>General</c:formatCode>
                  <c:ptCount val="4"/>
                  <c:pt idx="0">
                    <c:v>1.556721137788958E-14</c:v>
                  </c:pt>
                  <c:pt idx="1">
                    <c:v>4.4572513798441271</c:v>
                  </c:pt>
                  <c:pt idx="2">
                    <c:v>0.84406238783279042</c:v>
                  </c:pt>
                  <c:pt idx="3">
                    <c:v>1.2674289783008355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'48.1-3'!$A$15:$A$18</c:f>
              <c:numCache>
                <c:formatCode>General</c:formatCode>
                <c:ptCount val="4"/>
                <c:pt idx="0">
                  <c:v>0</c:v>
                </c:pt>
                <c:pt idx="1">
                  <c:v>17.5</c:v>
                </c:pt>
                <c:pt idx="2">
                  <c:v>44.5</c:v>
                </c:pt>
                <c:pt idx="3">
                  <c:v>66</c:v>
                </c:pt>
              </c:numCache>
            </c:numRef>
          </c:xVal>
          <c:yVal>
            <c:numRef>
              <c:f>'48.1-3'!$Z$15:$Z$18</c:f>
              <c:numCache>
                <c:formatCode>0.0</c:formatCode>
                <c:ptCount val="4"/>
                <c:pt idx="0">
                  <c:v>113.73521126760566</c:v>
                </c:pt>
                <c:pt idx="1">
                  <c:v>79.216431924882627</c:v>
                </c:pt>
                <c:pt idx="2">
                  <c:v>8.330281690140847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F8-45C8-AE88-E51DD34C728B}"/>
            </c:ext>
          </c:extLst>
        </c:ser>
        <c:ser>
          <c:idx val="1"/>
          <c:order val="1"/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'48.1-3'!$AA$11:$AA$14</c:f>
                <c:numCache>
                  <c:formatCode>General</c:formatCode>
                  <c:ptCount val="4"/>
                  <c:pt idx="0">
                    <c:v>1.556721137788958E-14</c:v>
                  </c:pt>
                  <c:pt idx="1">
                    <c:v>4.4572513798441271</c:v>
                  </c:pt>
                  <c:pt idx="2">
                    <c:v>0.84406238783279042</c:v>
                  </c:pt>
                  <c:pt idx="3">
                    <c:v>1.2674289783008355</c:v>
                  </c:pt>
                </c:numCache>
              </c:numRef>
            </c:plus>
            <c:minus>
              <c:numRef>
                <c:f>'48.1-3'!$AA$11:$AA$14</c:f>
                <c:numCache>
                  <c:formatCode>General</c:formatCode>
                  <c:ptCount val="4"/>
                  <c:pt idx="0">
                    <c:v>1.556721137788958E-14</c:v>
                  </c:pt>
                  <c:pt idx="1">
                    <c:v>4.4572513798441271</c:v>
                  </c:pt>
                  <c:pt idx="2">
                    <c:v>0.84406238783279042</c:v>
                  </c:pt>
                  <c:pt idx="3">
                    <c:v>1.2674289783008355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'48.1-3'!$A$11:$A$14</c:f>
              <c:numCache>
                <c:formatCode>General</c:formatCode>
                <c:ptCount val="4"/>
                <c:pt idx="0">
                  <c:v>0</c:v>
                </c:pt>
                <c:pt idx="1">
                  <c:v>44</c:v>
                </c:pt>
                <c:pt idx="2">
                  <c:v>66.75</c:v>
                </c:pt>
                <c:pt idx="3">
                  <c:v>73.5</c:v>
                </c:pt>
              </c:numCache>
            </c:numRef>
          </c:xVal>
          <c:yVal>
            <c:numRef>
              <c:f>'48.1-3'!$Z$11:$Z$14</c:f>
              <c:numCache>
                <c:formatCode>0.0</c:formatCode>
                <c:ptCount val="4"/>
                <c:pt idx="0">
                  <c:v>113.73521126760566</c:v>
                </c:pt>
                <c:pt idx="1">
                  <c:v>18.805633802816903</c:v>
                </c:pt>
                <c:pt idx="2">
                  <c:v>3.1190140845070422</c:v>
                </c:pt>
                <c:pt idx="3">
                  <c:v>1.5313380281690143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7F8-45C8-AE88-E51DD34C728B}"/>
            </c:ext>
          </c:extLst>
        </c:ser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'48.1-3'!$AA$5:$AA$10</c:f>
                <c:numCache>
                  <c:formatCode>General</c:formatCode>
                  <c:ptCount val="6"/>
                  <c:pt idx="0">
                    <c:v>1.272876366033133</c:v>
                  </c:pt>
                  <c:pt idx="1">
                    <c:v>1.0131222612597195</c:v>
                  </c:pt>
                  <c:pt idx="2">
                    <c:v>2.8783497314409439</c:v>
                  </c:pt>
                  <c:pt idx="3">
                    <c:v>6.7175002710991514</c:v>
                  </c:pt>
                  <c:pt idx="4">
                    <c:v>2.9661791928617265</c:v>
                  </c:pt>
                  <c:pt idx="5">
                    <c:v>0</c:v>
                  </c:pt>
                </c:numCache>
              </c:numRef>
            </c:plus>
            <c:minus>
              <c:numRef>
                <c:f>'48.1-3'!$AA$5:$AA$10</c:f>
                <c:numCache>
                  <c:formatCode>General</c:formatCode>
                  <c:ptCount val="6"/>
                  <c:pt idx="0">
                    <c:v>1.272876366033133</c:v>
                  </c:pt>
                  <c:pt idx="1">
                    <c:v>1.0131222612597195</c:v>
                  </c:pt>
                  <c:pt idx="2">
                    <c:v>2.8783497314409439</c:v>
                  </c:pt>
                  <c:pt idx="3">
                    <c:v>6.7175002710991514</c:v>
                  </c:pt>
                  <c:pt idx="4">
                    <c:v>2.9661791928617265</c:v>
                  </c:pt>
                  <c:pt idx="5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'48.1-3'!$A$5:$A$10</c:f>
              <c:numCache>
                <c:formatCode>General</c:formatCode>
                <c:ptCount val="6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5">
                  <c:v>114</c:v>
                </c:pt>
              </c:numCache>
            </c:numRef>
          </c:xVal>
          <c:yVal>
            <c:numRef>
              <c:f>'48.1-3'!$Z$5:$Z$10</c:f>
              <c:numCache>
                <c:formatCode>0.0</c:formatCode>
                <c:ptCount val="6"/>
                <c:pt idx="0">
                  <c:v>60.038028169014098</c:v>
                </c:pt>
                <c:pt idx="1">
                  <c:v>45.343192488262922</c:v>
                </c:pt>
                <c:pt idx="2">
                  <c:v>32.056807511737091</c:v>
                </c:pt>
                <c:pt idx="3">
                  <c:v>13.793896713615025</c:v>
                </c:pt>
                <c:pt idx="4">
                  <c:v>2.1659154929577467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7F8-45C8-AE88-E51DD34C7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499072"/>
        <c:axId val="60500992"/>
      </c:scatterChart>
      <c:valAx>
        <c:axId val="6049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60500992"/>
        <c:crosses val="autoZero"/>
        <c:crossBetween val="midCat"/>
      </c:valAx>
      <c:valAx>
        <c:axId val="605009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phenol concentration mg/L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60499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('52.1'!$A$25,'52.1'!$AA$25)</c:f>
              <c:numCache>
                <c:formatCode>0.0</c:formatCode>
                <c:ptCount val="2"/>
                <c:pt idx="0" formatCode="General">
                  <c:v>0</c:v>
                </c:pt>
                <c:pt idx="1">
                  <c:v>66.81297502714439</c:v>
                </c:pt>
              </c:numCache>
            </c:numRef>
          </c:xVal>
          <c:yVal>
            <c:numRef>
              <c:f>('52.1'!$A$26,'52.1'!$AA$26)</c:f>
              <c:numCache>
                <c:formatCode>General</c:formatCode>
                <c:ptCount val="2"/>
                <c:pt idx="0">
                  <c:v>46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05-416C-92BA-93287860B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593024"/>
        <c:axId val="76595200"/>
      </c:scatterChart>
      <c:valAx>
        <c:axId val="7659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6595200"/>
        <c:crosses val="autoZero"/>
        <c:crossBetween val="midCat"/>
      </c:valAx>
      <c:valAx>
        <c:axId val="765952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100ml </a:t>
                </a:r>
                <a:r>
                  <a:rPr lang="en-GB" baseline="0"/>
                  <a:t> 66mg/L cresol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65930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15018577223302"/>
          <c:y val="5.1400554097404488E-2"/>
          <c:w val="0.79873306745747685"/>
          <c:h val="0.73444808982210552"/>
        </c:manualLayout>
      </c:layout>
      <c:scatterChart>
        <c:scatterStyle val="lineMarker"/>
        <c:varyColors val="0"/>
        <c:ser>
          <c:idx val="3"/>
          <c:order val="2"/>
          <c:tx>
            <c:v>Acn 1st cycle</c:v>
          </c:tx>
          <c:spPr>
            <a:ln w="19050">
              <a:solidFill>
                <a:schemeClr val="tx1"/>
              </a:solidFill>
              <a:prstDash val="lgDashDotDot"/>
            </a:ln>
          </c:spPr>
          <c:marker>
            <c:symbol val="square"/>
            <c:size val="5"/>
            <c:spPr>
              <a:noFill/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plus>
            <c:min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'52.1'!$A$5:$A$19</c:f>
              <c:numCache>
                <c:formatCode>General</c:formatCode>
                <c:ptCount val="15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6">
                  <c:v>138</c:v>
                </c:pt>
                <c:pt idx="9">
                  <c:v>190</c:v>
                </c:pt>
                <c:pt idx="10">
                  <c:v>212.75</c:v>
                </c:pt>
                <c:pt idx="13">
                  <c:v>236.75</c:v>
                </c:pt>
                <c:pt idx="14">
                  <c:v>263.75</c:v>
                </c:pt>
              </c:numCache>
            </c:numRef>
          </c:xVal>
          <c:yVal>
            <c:numRef>
              <c:f>'52.1'!$AA$5:$AA$19</c:f>
              <c:numCache>
                <c:formatCode>0.0</c:formatCode>
                <c:ptCount val="15"/>
                <c:pt idx="0">
                  <c:v>45.491042345276874</c:v>
                </c:pt>
                <c:pt idx="1">
                  <c:v>39.940010857763298</c:v>
                </c:pt>
                <c:pt idx="3">
                  <c:v>38.189196525515747</c:v>
                </c:pt>
                <c:pt idx="4">
                  <c:v>37.307003257328994</c:v>
                </c:pt>
                <c:pt idx="6">
                  <c:v>33.174267100977197</c:v>
                </c:pt>
                <c:pt idx="9">
                  <c:v>22.974755700325733</c:v>
                </c:pt>
                <c:pt idx="10">
                  <c:v>16.704397394136809</c:v>
                </c:pt>
                <c:pt idx="13">
                  <c:v>6.7571517412935327</c:v>
                </c:pt>
                <c:pt idx="14">
                  <c:v>0.10914179104477612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84-4C54-84A8-B910C1271A81}"/>
            </c:ext>
          </c:extLst>
        </c:ser>
        <c:ser>
          <c:idx val="4"/>
          <c:order val="3"/>
          <c:tx>
            <c:v>Acn 2nd cycle</c:v>
          </c:tx>
          <c:spPr>
            <a:ln w="19050">
              <a:solidFill>
                <a:schemeClr val="tx1"/>
              </a:solidFill>
              <a:prstDash val="dash"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'52.1'!$AB$20:$AB$24</c:f>
                <c:numCache>
                  <c:formatCode>General</c:formatCode>
                  <c:ptCount val="5"/>
                  <c:pt idx="0">
                    <c:v>0.16286644951140161</c:v>
                  </c:pt>
                  <c:pt idx="1">
                    <c:v>6.6819918320556395</c:v>
                  </c:pt>
                  <c:pt idx="3">
                    <c:v>3.6512003979327106</c:v>
                  </c:pt>
                  <c:pt idx="4">
                    <c:v>0</c:v>
                  </c:pt>
                </c:numCache>
              </c:numRef>
            </c:plus>
            <c:minus>
              <c:numRef>
                <c:f>'52.1'!$AB$20:$AB$24</c:f>
                <c:numCache>
                  <c:formatCode>General</c:formatCode>
                  <c:ptCount val="5"/>
                  <c:pt idx="0">
                    <c:v>0.16286644951140161</c:v>
                  </c:pt>
                  <c:pt idx="1">
                    <c:v>6.6819918320556395</c:v>
                  </c:pt>
                  <c:pt idx="3">
                    <c:v>3.6512003979327106</c:v>
                  </c:pt>
                  <c:pt idx="4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'52.1'!$A$20:$A$24</c:f>
              <c:numCache>
                <c:formatCode>General</c:formatCode>
                <c:ptCount val="5"/>
                <c:pt idx="0">
                  <c:v>0</c:v>
                </c:pt>
                <c:pt idx="1">
                  <c:v>21</c:v>
                </c:pt>
                <c:pt idx="3">
                  <c:v>49.5</c:v>
                </c:pt>
                <c:pt idx="4">
                  <c:v>90</c:v>
                </c:pt>
              </c:numCache>
            </c:numRef>
          </c:xVal>
          <c:yVal>
            <c:numRef>
              <c:f>'52.1'!$AA$20:$AA$24</c:f>
              <c:numCache>
                <c:formatCode>0.0</c:formatCode>
                <c:ptCount val="5"/>
                <c:pt idx="0">
                  <c:v>43.170195439739416</c:v>
                </c:pt>
                <c:pt idx="1">
                  <c:v>36.818403908794792</c:v>
                </c:pt>
                <c:pt idx="3">
                  <c:v>13.827090119435397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84-4C54-84A8-B910C1271A81}"/>
            </c:ext>
          </c:extLst>
        </c:ser>
        <c:ser>
          <c:idx val="2"/>
          <c:order val="1"/>
          <c:tx>
            <c:v>Ps</c:v>
          </c:tx>
          <c:spPr>
            <a:ln w="19050">
              <a:solidFill>
                <a:schemeClr val="tx1"/>
              </a:solidFill>
              <a:prstDash val="dashDot"/>
            </a:ln>
          </c:spPr>
          <c:marker>
            <c:spPr>
              <a:noFill/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'53.1'!$AC$5:$AC$20</c:f>
                <c:numCache>
                  <c:formatCode>General</c:formatCode>
                  <c:ptCount val="9"/>
                  <c:pt idx="0">
                    <c:v>0.4014253271617681</c:v>
                  </c:pt>
                  <c:pt idx="1">
                    <c:v>1.222402850075756</c:v>
                  </c:pt>
                  <c:pt idx="2">
                    <c:v>16.901134066503346</c:v>
                  </c:pt>
                  <c:pt idx="3">
                    <c:v>1.9850340324340991</c:v>
                  </c:pt>
                  <c:pt idx="4">
                    <c:v>1.7622345516624174</c:v>
                  </c:pt>
                  <c:pt idx="5">
                    <c:v>0.1410464827010505</c:v>
                  </c:pt>
                  <c:pt idx="6">
                    <c:v>1.5212981834095614</c:v>
                  </c:pt>
                  <c:pt idx="7">
                    <c:v>10.672804966568338</c:v>
                  </c:pt>
                  <c:pt idx="8">
                    <c:v>9.791308260420724</c:v>
                  </c:pt>
                </c:numCache>
              </c:numRef>
            </c:plus>
            <c:minus>
              <c:numRef>
                <c:f>'53.1'!$AC$5:$AC$20</c:f>
                <c:numCache>
                  <c:formatCode>General</c:formatCode>
                  <c:ptCount val="9"/>
                  <c:pt idx="0">
                    <c:v>0.4014253271617681</c:v>
                  </c:pt>
                  <c:pt idx="1">
                    <c:v>1.222402850075756</c:v>
                  </c:pt>
                  <c:pt idx="2">
                    <c:v>16.901134066503346</c:v>
                  </c:pt>
                  <c:pt idx="3">
                    <c:v>1.9850340324340991</c:v>
                  </c:pt>
                  <c:pt idx="4">
                    <c:v>1.7622345516624174</c:v>
                  </c:pt>
                  <c:pt idx="5">
                    <c:v>0.1410464827010505</c:v>
                  </c:pt>
                  <c:pt idx="6">
                    <c:v>1.5212981834095614</c:v>
                  </c:pt>
                  <c:pt idx="7">
                    <c:v>10.672804966568338</c:v>
                  </c:pt>
                  <c:pt idx="8">
                    <c:v>9.791308260420724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'53.1'!$A$5:$A$20</c:f>
              <c:numCache>
                <c:formatCode>General</c:formatCode>
                <c:ptCount val="9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5">
                  <c:v>114</c:v>
                </c:pt>
                <c:pt idx="6">
                  <c:v>166</c:v>
                </c:pt>
                <c:pt idx="7">
                  <c:v>217</c:v>
                </c:pt>
                <c:pt idx="8">
                  <c:v>239</c:v>
                </c:pt>
              </c:numCache>
            </c:numRef>
          </c:xVal>
          <c:yVal>
            <c:numRef>
              <c:f>'53.1'!$AB$5:$AB$20</c:f>
              <c:numCache>
                <c:formatCode>0.0</c:formatCode>
                <c:ptCount val="9"/>
                <c:pt idx="0">
                  <c:v>45.417752442996751</c:v>
                </c:pt>
                <c:pt idx="1">
                  <c:v>33.28963083604777</c:v>
                </c:pt>
                <c:pt idx="2">
                  <c:v>25.579900994342534</c:v>
                </c:pt>
                <c:pt idx="3">
                  <c:v>38.105048859934854</c:v>
                </c:pt>
                <c:pt idx="4">
                  <c:v>34.97801302931596</c:v>
                </c:pt>
                <c:pt idx="5">
                  <c:v>32.013843648208471</c:v>
                </c:pt>
                <c:pt idx="6">
                  <c:v>27.53501628664495</c:v>
                </c:pt>
                <c:pt idx="7">
                  <c:v>14.935721326932969</c:v>
                </c:pt>
                <c:pt idx="8">
                  <c:v>13.447068403908794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C84-4C54-84A8-B910C1271A81}"/>
            </c:ext>
          </c:extLst>
        </c:ser>
        <c:ser>
          <c:idx val="0"/>
          <c:order val="0"/>
          <c:tx>
            <c:v>Rh</c:v>
          </c:tx>
          <c:spPr>
            <a:ln w="19050">
              <a:solidFill>
                <a:schemeClr val="tx1"/>
              </a:solidFill>
              <a:prstDash val="sysDot"/>
            </a:ln>
          </c:spPr>
          <c:marker>
            <c:spPr>
              <a:noFill/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'54.1-4'!$AD$6:$AD$20</c:f>
                <c:numCache>
                  <c:formatCode>General</c:formatCode>
                  <c:ptCount val="10"/>
                  <c:pt idx="0">
                    <c:v>0.42313944810314735</c:v>
                  </c:pt>
                  <c:pt idx="1">
                    <c:v>0.74745764457189856</c:v>
                  </c:pt>
                  <c:pt idx="2">
                    <c:v>1.0772603058080596</c:v>
                  </c:pt>
                  <c:pt idx="3">
                    <c:v>0.20493578814524299</c:v>
                  </c:pt>
                  <c:pt idx="4">
                    <c:v>2.7281143125411993</c:v>
                  </c:pt>
                  <c:pt idx="5">
                    <c:v>1.7616700042983657</c:v>
                  </c:pt>
                  <c:pt idx="6">
                    <c:v>2.4184433884230443</c:v>
                  </c:pt>
                  <c:pt idx="7">
                    <c:v>2.0998353503096956</c:v>
                  </c:pt>
                  <c:pt idx="8">
                    <c:v>2.1881154466684722</c:v>
                  </c:pt>
                  <c:pt idx="9">
                    <c:v>0.57581985438644023</c:v>
                  </c:pt>
                </c:numCache>
              </c:numRef>
            </c:plus>
            <c:minus>
              <c:numRef>
                <c:f>'54.1-4'!$AD$6:$AD$20</c:f>
                <c:numCache>
                  <c:formatCode>General</c:formatCode>
                  <c:ptCount val="10"/>
                  <c:pt idx="0">
                    <c:v>0.42313944810314735</c:v>
                  </c:pt>
                  <c:pt idx="1">
                    <c:v>0.74745764457189856</c:v>
                  </c:pt>
                  <c:pt idx="2">
                    <c:v>1.0772603058080596</c:v>
                  </c:pt>
                  <c:pt idx="3">
                    <c:v>0.20493578814524299</c:v>
                  </c:pt>
                  <c:pt idx="4">
                    <c:v>2.7281143125411993</c:v>
                  </c:pt>
                  <c:pt idx="5">
                    <c:v>1.7616700042983657</c:v>
                  </c:pt>
                  <c:pt idx="6">
                    <c:v>2.4184433884230443</c:v>
                  </c:pt>
                  <c:pt idx="7">
                    <c:v>2.0998353503096956</c:v>
                  </c:pt>
                  <c:pt idx="8">
                    <c:v>2.1881154466684722</c:v>
                  </c:pt>
                  <c:pt idx="9">
                    <c:v>0.57581985438644023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'54.1-4'!$B$6:$B$20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49</c:v>
                </c:pt>
                <c:pt idx="3">
                  <c:v>72.5</c:v>
                </c:pt>
                <c:pt idx="4">
                  <c:v>93.5</c:v>
                </c:pt>
                <c:pt idx="5">
                  <c:v>100.5</c:v>
                </c:pt>
                <c:pt idx="6">
                  <c:v>145.5</c:v>
                </c:pt>
                <c:pt idx="7">
                  <c:v>169.5</c:v>
                </c:pt>
                <c:pt idx="8">
                  <c:v>196.5</c:v>
                </c:pt>
                <c:pt idx="9">
                  <c:v>218.5</c:v>
                </c:pt>
              </c:numCache>
            </c:numRef>
          </c:xVal>
          <c:yVal>
            <c:numRef>
              <c:f>'54.1-4'!$AC$6:$AC$20</c:f>
              <c:numCache>
                <c:formatCode>0.0</c:formatCode>
                <c:ptCount val="10"/>
                <c:pt idx="0">
                  <c:v>45.491042345276881</c:v>
                </c:pt>
                <c:pt idx="1">
                  <c:v>35.210097719869708</c:v>
                </c:pt>
                <c:pt idx="2">
                  <c:v>40.767915309446259</c:v>
                </c:pt>
                <c:pt idx="3">
                  <c:v>41.012214983713349</c:v>
                </c:pt>
                <c:pt idx="4">
                  <c:v>37.849891422366994</c:v>
                </c:pt>
                <c:pt idx="5">
                  <c:v>31.606677524429966</c:v>
                </c:pt>
                <c:pt idx="6">
                  <c:v>28.023615635179155</c:v>
                </c:pt>
                <c:pt idx="7">
                  <c:v>24.908794788273617</c:v>
                </c:pt>
                <c:pt idx="8">
                  <c:v>23.300488599348533</c:v>
                </c:pt>
                <c:pt idx="9">
                  <c:v>18.495928338762216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C84-4C54-84A8-B910C1271A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89632"/>
        <c:axId val="76804096"/>
      </c:scatterChart>
      <c:valAx>
        <c:axId val="76789632"/>
        <c:scaling>
          <c:orientation val="minMax"/>
          <c:max val="27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6804096"/>
        <c:crosses val="autoZero"/>
        <c:crossBetween val="midCat"/>
      </c:valAx>
      <c:valAx>
        <c:axId val="76804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cresol concentration, mg/L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767896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5635013805092546"/>
          <c:y val="3.8619130941965648E-3"/>
          <c:w val="0.34364986194907454"/>
          <c:h val="0.28394284047827356"/>
        </c:manualLayout>
      </c:layout>
      <c:overlay val="0"/>
      <c:spPr>
        <a:noFill/>
        <a:ln>
          <a:solidFill>
            <a:schemeClr val="accent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2"/>
          <c:tx>
            <c:v>Pseudo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'53.1'!$AC$5:$AC$20</c:f>
                <c:numCache>
                  <c:formatCode>General</c:formatCode>
                  <c:ptCount val="9"/>
                  <c:pt idx="0">
                    <c:v>0.4014253271617681</c:v>
                  </c:pt>
                  <c:pt idx="1">
                    <c:v>1.222402850075756</c:v>
                  </c:pt>
                  <c:pt idx="2">
                    <c:v>16.901134066503346</c:v>
                  </c:pt>
                  <c:pt idx="3">
                    <c:v>1.9850340324340991</c:v>
                  </c:pt>
                  <c:pt idx="4">
                    <c:v>1.7622345516624174</c:v>
                  </c:pt>
                  <c:pt idx="5">
                    <c:v>0.1410464827010505</c:v>
                  </c:pt>
                  <c:pt idx="6">
                    <c:v>1.5212981834095614</c:v>
                  </c:pt>
                  <c:pt idx="7">
                    <c:v>10.672804966568338</c:v>
                  </c:pt>
                  <c:pt idx="8">
                    <c:v>9.791308260420724</c:v>
                  </c:pt>
                </c:numCache>
              </c:numRef>
            </c:plus>
            <c:minus>
              <c:numRef>
                <c:f>'53.1'!$AC$5:$AC$20</c:f>
                <c:numCache>
                  <c:formatCode>General</c:formatCode>
                  <c:ptCount val="9"/>
                  <c:pt idx="0">
                    <c:v>0.4014253271617681</c:v>
                  </c:pt>
                  <c:pt idx="1">
                    <c:v>1.222402850075756</c:v>
                  </c:pt>
                  <c:pt idx="2">
                    <c:v>16.901134066503346</c:v>
                  </c:pt>
                  <c:pt idx="3">
                    <c:v>1.9850340324340991</c:v>
                  </c:pt>
                  <c:pt idx="4">
                    <c:v>1.7622345516624174</c:v>
                  </c:pt>
                  <c:pt idx="5">
                    <c:v>0.1410464827010505</c:v>
                  </c:pt>
                  <c:pt idx="6">
                    <c:v>1.5212981834095614</c:v>
                  </c:pt>
                  <c:pt idx="7">
                    <c:v>10.672804966568338</c:v>
                  </c:pt>
                  <c:pt idx="8">
                    <c:v>9.791308260420724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'53.1'!$A$5:$A$20</c:f>
              <c:numCache>
                <c:formatCode>General</c:formatCode>
                <c:ptCount val="9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5">
                  <c:v>114</c:v>
                </c:pt>
                <c:pt idx="6">
                  <c:v>166</c:v>
                </c:pt>
                <c:pt idx="7">
                  <c:v>217</c:v>
                </c:pt>
                <c:pt idx="8">
                  <c:v>239</c:v>
                </c:pt>
              </c:numCache>
            </c:numRef>
          </c:xVal>
          <c:yVal>
            <c:numRef>
              <c:f>'53.1'!$AB$5:$AB$20</c:f>
              <c:numCache>
                <c:formatCode>0.0</c:formatCode>
                <c:ptCount val="9"/>
                <c:pt idx="0">
                  <c:v>45.417752442996751</c:v>
                </c:pt>
                <c:pt idx="1">
                  <c:v>33.28963083604777</c:v>
                </c:pt>
                <c:pt idx="2">
                  <c:v>25.579900994342534</c:v>
                </c:pt>
                <c:pt idx="3">
                  <c:v>38.105048859934854</c:v>
                </c:pt>
                <c:pt idx="4">
                  <c:v>34.97801302931596</c:v>
                </c:pt>
                <c:pt idx="5">
                  <c:v>32.013843648208471</c:v>
                </c:pt>
                <c:pt idx="6">
                  <c:v>27.53501628664495</c:v>
                </c:pt>
                <c:pt idx="7">
                  <c:v>14.935721326932969</c:v>
                </c:pt>
                <c:pt idx="8">
                  <c:v>13.447068403908794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A9-4EDA-AACB-C11F9AE09126}"/>
            </c:ext>
          </c:extLst>
        </c:ser>
        <c:ser>
          <c:idx val="1"/>
          <c:order val="1"/>
          <c:tx>
            <c:v>Rhodo</c:v>
          </c:tx>
          <c:spPr>
            <a:ln w="28575">
              <a:noFill/>
            </a:ln>
          </c:spPr>
          <c:marker>
            <c:spPr>
              <a:noFill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'54.1-4'!$AF$6:$AF$20</c:f>
                <c:numCache>
                  <c:formatCode>General</c:formatCode>
                  <c:ptCount val="10"/>
                  <c:pt idx="0">
                    <c:v>0.84627889620629482</c:v>
                  </c:pt>
                  <c:pt idx="1">
                    <c:v>2.4631587488301112</c:v>
                  </c:pt>
                  <c:pt idx="2">
                    <c:v>0.94587649750411973</c:v>
                  </c:pt>
                  <c:pt idx="3">
                    <c:v>1.065914979156998</c:v>
                  </c:pt>
                  <c:pt idx="4">
                    <c:v>0.51823786894779722</c:v>
                  </c:pt>
                  <c:pt idx="5">
                    <c:v>1.7850415485979636</c:v>
                  </c:pt>
                  <c:pt idx="6">
                    <c:v>0.57581985438645034</c:v>
                  </c:pt>
                  <c:pt idx="7">
                    <c:v>2.4196998117383806</c:v>
                  </c:pt>
                  <c:pt idx="8">
                    <c:v>0.63340183982508325</c:v>
                  </c:pt>
                  <c:pt idx="9">
                    <c:v>2.1172638436482121</c:v>
                  </c:pt>
                </c:numCache>
              </c:numRef>
            </c:plus>
            <c:minus>
              <c:numRef>
                <c:f>'54.1-4'!$AF$6:$AF$20</c:f>
                <c:numCache>
                  <c:formatCode>General</c:formatCode>
                  <c:ptCount val="10"/>
                  <c:pt idx="0">
                    <c:v>0.84627889620629482</c:v>
                  </c:pt>
                  <c:pt idx="1">
                    <c:v>2.4631587488301112</c:v>
                  </c:pt>
                  <c:pt idx="2">
                    <c:v>0.94587649750411973</c:v>
                  </c:pt>
                  <c:pt idx="3">
                    <c:v>1.065914979156998</c:v>
                  </c:pt>
                  <c:pt idx="4">
                    <c:v>0.51823786894779722</c:v>
                  </c:pt>
                  <c:pt idx="5">
                    <c:v>1.7850415485979636</c:v>
                  </c:pt>
                  <c:pt idx="6">
                    <c:v>0.57581985438645034</c:v>
                  </c:pt>
                  <c:pt idx="7">
                    <c:v>2.4196998117383806</c:v>
                  </c:pt>
                  <c:pt idx="8">
                    <c:v>0.63340183982508325</c:v>
                  </c:pt>
                  <c:pt idx="9">
                    <c:v>2.1172638436482121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'54.1-4'!$B$6:$B$20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49</c:v>
                </c:pt>
                <c:pt idx="3">
                  <c:v>72.5</c:v>
                </c:pt>
                <c:pt idx="4">
                  <c:v>93.5</c:v>
                </c:pt>
                <c:pt idx="5">
                  <c:v>100.5</c:v>
                </c:pt>
                <c:pt idx="6">
                  <c:v>145.5</c:v>
                </c:pt>
                <c:pt idx="7">
                  <c:v>169.5</c:v>
                </c:pt>
                <c:pt idx="8">
                  <c:v>196.5</c:v>
                </c:pt>
                <c:pt idx="9">
                  <c:v>218.5</c:v>
                </c:pt>
              </c:numCache>
            </c:numRef>
          </c:xVal>
          <c:yVal>
            <c:numRef>
              <c:f>'54.1-4'!$AE$6:$AE$20</c:f>
              <c:numCache>
                <c:formatCode>0.0</c:formatCode>
                <c:ptCount val="10"/>
                <c:pt idx="0">
                  <c:v>91.867263843648203</c:v>
                </c:pt>
                <c:pt idx="1">
                  <c:v>76.211726384364809</c:v>
                </c:pt>
                <c:pt idx="2">
                  <c:v>78.89902280130292</c:v>
                </c:pt>
                <c:pt idx="3">
                  <c:v>81.525244299674256</c:v>
                </c:pt>
                <c:pt idx="4">
                  <c:v>80.263029315960893</c:v>
                </c:pt>
                <c:pt idx="5">
                  <c:v>76.679967426710078</c:v>
                </c:pt>
                <c:pt idx="6">
                  <c:v>75.824918566775239</c:v>
                </c:pt>
                <c:pt idx="7">
                  <c:v>73.565146579804548</c:v>
                </c:pt>
                <c:pt idx="8">
                  <c:v>72.201140065146575</c:v>
                </c:pt>
                <c:pt idx="9">
                  <c:v>70.531758957654702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A9-4EDA-AACB-C11F9AE09126}"/>
            </c:ext>
          </c:extLst>
        </c:ser>
        <c:ser>
          <c:idx val="0"/>
          <c:order val="0"/>
          <c:tx>
            <c:v>Rhodo</c:v>
          </c:tx>
          <c:spPr>
            <a:ln w="28575">
              <a:noFill/>
            </a:ln>
          </c:spPr>
          <c:marker>
            <c:spPr>
              <a:noFill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'54.1-4'!$AD$6:$AD$20</c:f>
                <c:numCache>
                  <c:formatCode>General</c:formatCode>
                  <c:ptCount val="10"/>
                  <c:pt idx="0">
                    <c:v>0.42313944810314735</c:v>
                  </c:pt>
                  <c:pt idx="1">
                    <c:v>0.74745764457189856</c:v>
                  </c:pt>
                  <c:pt idx="2">
                    <c:v>1.0772603058080596</c:v>
                  </c:pt>
                  <c:pt idx="3">
                    <c:v>0.20493578814524299</c:v>
                  </c:pt>
                  <c:pt idx="4">
                    <c:v>2.7281143125411993</c:v>
                  </c:pt>
                  <c:pt idx="5">
                    <c:v>1.7616700042983657</c:v>
                  </c:pt>
                  <c:pt idx="6">
                    <c:v>2.4184433884230443</c:v>
                  </c:pt>
                  <c:pt idx="7">
                    <c:v>2.0998353503096956</c:v>
                  </c:pt>
                  <c:pt idx="8">
                    <c:v>2.1881154466684722</c:v>
                  </c:pt>
                  <c:pt idx="9">
                    <c:v>0.57581985438644023</c:v>
                  </c:pt>
                </c:numCache>
              </c:numRef>
            </c:plus>
            <c:minus>
              <c:numRef>
                <c:f>'54.1-4'!$AD$6:$AD$20</c:f>
                <c:numCache>
                  <c:formatCode>General</c:formatCode>
                  <c:ptCount val="10"/>
                  <c:pt idx="0">
                    <c:v>0.42313944810314735</c:v>
                  </c:pt>
                  <c:pt idx="1">
                    <c:v>0.74745764457189856</c:v>
                  </c:pt>
                  <c:pt idx="2">
                    <c:v>1.0772603058080596</c:v>
                  </c:pt>
                  <c:pt idx="3">
                    <c:v>0.20493578814524299</c:v>
                  </c:pt>
                  <c:pt idx="4">
                    <c:v>2.7281143125411993</c:v>
                  </c:pt>
                  <c:pt idx="5">
                    <c:v>1.7616700042983657</c:v>
                  </c:pt>
                  <c:pt idx="6">
                    <c:v>2.4184433884230443</c:v>
                  </c:pt>
                  <c:pt idx="7">
                    <c:v>2.0998353503096956</c:v>
                  </c:pt>
                  <c:pt idx="8">
                    <c:v>2.1881154466684722</c:v>
                  </c:pt>
                  <c:pt idx="9">
                    <c:v>0.57581985438644023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'54.1-4'!$B$6:$B$20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49</c:v>
                </c:pt>
                <c:pt idx="3">
                  <c:v>72.5</c:v>
                </c:pt>
                <c:pt idx="4">
                  <c:v>93.5</c:v>
                </c:pt>
                <c:pt idx="5">
                  <c:v>100.5</c:v>
                </c:pt>
                <c:pt idx="6">
                  <c:v>145.5</c:v>
                </c:pt>
                <c:pt idx="7">
                  <c:v>169.5</c:v>
                </c:pt>
                <c:pt idx="8">
                  <c:v>196.5</c:v>
                </c:pt>
                <c:pt idx="9">
                  <c:v>218.5</c:v>
                </c:pt>
              </c:numCache>
            </c:numRef>
          </c:xVal>
          <c:yVal>
            <c:numRef>
              <c:f>'54.1-4'!$AC$6:$AC$20</c:f>
              <c:numCache>
                <c:formatCode>0.0</c:formatCode>
                <c:ptCount val="10"/>
                <c:pt idx="0">
                  <c:v>45.491042345276881</c:v>
                </c:pt>
                <c:pt idx="1">
                  <c:v>35.210097719869708</c:v>
                </c:pt>
                <c:pt idx="2">
                  <c:v>40.767915309446259</c:v>
                </c:pt>
                <c:pt idx="3">
                  <c:v>41.012214983713349</c:v>
                </c:pt>
                <c:pt idx="4">
                  <c:v>37.849891422366994</c:v>
                </c:pt>
                <c:pt idx="5">
                  <c:v>31.606677524429966</c:v>
                </c:pt>
                <c:pt idx="6">
                  <c:v>28.023615635179155</c:v>
                </c:pt>
                <c:pt idx="7">
                  <c:v>24.908794788273617</c:v>
                </c:pt>
                <c:pt idx="8">
                  <c:v>23.300488599348533</c:v>
                </c:pt>
                <c:pt idx="9">
                  <c:v>18.495928338762216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A9-4EDA-AACB-C11F9AE091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528192"/>
        <c:axId val="87530112"/>
      </c:scatterChart>
      <c:valAx>
        <c:axId val="8752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7530112"/>
        <c:crosses val="autoZero"/>
        <c:crossBetween val="midCat"/>
      </c:valAx>
      <c:valAx>
        <c:axId val="875301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cresol concentration, mg/L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87528192"/>
        <c:crosses val="autoZero"/>
        <c:crossBetween val="midCat"/>
      </c:valAx>
    </c:plotArea>
    <c:legend>
      <c:legendPos val="r"/>
      <c:layout/>
      <c:overlay val="0"/>
      <c:spPr>
        <a:noFill/>
        <a:ln>
          <a:solidFill>
            <a:schemeClr val="accent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'54.1-4'!$AD$6:$AD$20</c:f>
                <c:numCache>
                  <c:formatCode>General</c:formatCode>
                  <c:ptCount val="10"/>
                  <c:pt idx="0">
                    <c:v>0.42313944810314735</c:v>
                  </c:pt>
                  <c:pt idx="1">
                    <c:v>0.74745764457189856</c:v>
                  </c:pt>
                  <c:pt idx="2">
                    <c:v>1.0772603058080596</c:v>
                  </c:pt>
                  <c:pt idx="3">
                    <c:v>0.20493578814524299</c:v>
                  </c:pt>
                  <c:pt idx="4">
                    <c:v>2.7281143125411993</c:v>
                  </c:pt>
                  <c:pt idx="5">
                    <c:v>1.7616700042983657</c:v>
                  </c:pt>
                  <c:pt idx="6">
                    <c:v>2.4184433884230443</c:v>
                  </c:pt>
                  <c:pt idx="7">
                    <c:v>2.0998353503096956</c:v>
                  </c:pt>
                  <c:pt idx="8">
                    <c:v>2.1881154466684722</c:v>
                  </c:pt>
                  <c:pt idx="9">
                    <c:v>0.57581985438644023</c:v>
                  </c:pt>
                </c:numCache>
              </c:numRef>
            </c:plus>
            <c:minus>
              <c:numRef>
                <c:f>'54.1-4'!$AD$6:$AD$20</c:f>
                <c:numCache>
                  <c:formatCode>General</c:formatCode>
                  <c:ptCount val="10"/>
                  <c:pt idx="0">
                    <c:v>0.42313944810314735</c:v>
                  </c:pt>
                  <c:pt idx="1">
                    <c:v>0.74745764457189856</c:v>
                  </c:pt>
                  <c:pt idx="2">
                    <c:v>1.0772603058080596</c:v>
                  </c:pt>
                  <c:pt idx="3">
                    <c:v>0.20493578814524299</c:v>
                  </c:pt>
                  <c:pt idx="4">
                    <c:v>2.7281143125411993</c:v>
                  </c:pt>
                  <c:pt idx="5">
                    <c:v>1.7616700042983657</c:v>
                  </c:pt>
                  <c:pt idx="6">
                    <c:v>2.4184433884230443</c:v>
                  </c:pt>
                  <c:pt idx="7">
                    <c:v>2.0998353503096956</c:v>
                  </c:pt>
                  <c:pt idx="8">
                    <c:v>2.1881154466684722</c:v>
                  </c:pt>
                  <c:pt idx="9">
                    <c:v>0.57581985438644023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'54.1-4'!$B$6:$B$20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49</c:v>
                </c:pt>
                <c:pt idx="3">
                  <c:v>72.5</c:v>
                </c:pt>
                <c:pt idx="4">
                  <c:v>93.5</c:v>
                </c:pt>
                <c:pt idx="5">
                  <c:v>100.5</c:v>
                </c:pt>
                <c:pt idx="6">
                  <c:v>145.5</c:v>
                </c:pt>
                <c:pt idx="7">
                  <c:v>169.5</c:v>
                </c:pt>
                <c:pt idx="8">
                  <c:v>196.5</c:v>
                </c:pt>
                <c:pt idx="9">
                  <c:v>218.5</c:v>
                </c:pt>
              </c:numCache>
            </c:numRef>
          </c:xVal>
          <c:yVal>
            <c:numRef>
              <c:f>'54.1-4'!$AC$6:$AC$20</c:f>
              <c:numCache>
                <c:formatCode>0.0</c:formatCode>
                <c:ptCount val="10"/>
                <c:pt idx="0">
                  <c:v>45.491042345276881</c:v>
                </c:pt>
                <c:pt idx="1">
                  <c:v>35.210097719869708</c:v>
                </c:pt>
                <c:pt idx="2">
                  <c:v>40.767915309446259</c:v>
                </c:pt>
                <c:pt idx="3">
                  <c:v>41.012214983713349</c:v>
                </c:pt>
                <c:pt idx="4">
                  <c:v>37.849891422366994</c:v>
                </c:pt>
                <c:pt idx="5">
                  <c:v>31.606677524429966</c:v>
                </c:pt>
                <c:pt idx="6">
                  <c:v>28.023615635179155</c:v>
                </c:pt>
                <c:pt idx="7">
                  <c:v>24.908794788273617</c:v>
                </c:pt>
                <c:pt idx="8">
                  <c:v>23.300488599348533</c:v>
                </c:pt>
                <c:pt idx="9">
                  <c:v>18.495928338762216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1B-4B81-BA3F-5EA0E7679F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634688"/>
        <c:axId val="87636608"/>
      </c:scatterChart>
      <c:valAx>
        <c:axId val="8763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7636608"/>
        <c:crosses val="autoZero"/>
        <c:crossBetween val="midCat"/>
      </c:valAx>
      <c:valAx>
        <c:axId val="876366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cresol concentration, mg/L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876346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Rhodo</c:v>
          </c:tx>
          <c:spPr>
            <a:ln w="28575">
              <a:noFill/>
            </a:ln>
          </c:spPr>
          <c:marker>
            <c:spPr>
              <a:noFill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'54.1-4'!$AF$6:$AF$20</c:f>
                <c:numCache>
                  <c:formatCode>General</c:formatCode>
                  <c:ptCount val="10"/>
                  <c:pt idx="0">
                    <c:v>0.84627889620629482</c:v>
                  </c:pt>
                  <c:pt idx="1">
                    <c:v>2.4631587488301112</c:v>
                  </c:pt>
                  <c:pt idx="2">
                    <c:v>0.94587649750411973</c:v>
                  </c:pt>
                  <c:pt idx="3">
                    <c:v>1.065914979156998</c:v>
                  </c:pt>
                  <c:pt idx="4">
                    <c:v>0.51823786894779722</c:v>
                  </c:pt>
                  <c:pt idx="5">
                    <c:v>1.7850415485979636</c:v>
                  </c:pt>
                  <c:pt idx="6">
                    <c:v>0.57581985438645034</c:v>
                  </c:pt>
                  <c:pt idx="7">
                    <c:v>2.4196998117383806</c:v>
                  </c:pt>
                  <c:pt idx="8">
                    <c:v>0.63340183982508325</c:v>
                  </c:pt>
                  <c:pt idx="9">
                    <c:v>2.1172638436482121</c:v>
                  </c:pt>
                </c:numCache>
              </c:numRef>
            </c:plus>
            <c:minus>
              <c:numRef>
                <c:f>'54.1-4'!$AF$6:$AF$20</c:f>
                <c:numCache>
                  <c:formatCode>General</c:formatCode>
                  <c:ptCount val="10"/>
                  <c:pt idx="0">
                    <c:v>0.84627889620629482</c:v>
                  </c:pt>
                  <c:pt idx="1">
                    <c:v>2.4631587488301112</c:v>
                  </c:pt>
                  <c:pt idx="2">
                    <c:v>0.94587649750411973</c:v>
                  </c:pt>
                  <c:pt idx="3">
                    <c:v>1.065914979156998</c:v>
                  </c:pt>
                  <c:pt idx="4">
                    <c:v>0.51823786894779722</c:v>
                  </c:pt>
                  <c:pt idx="5">
                    <c:v>1.7850415485979636</c:v>
                  </c:pt>
                  <c:pt idx="6">
                    <c:v>0.57581985438645034</c:v>
                  </c:pt>
                  <c:pt idx="7">
                    <c:v>2.4196998117383806</c:v>
                  </c:pt>
                  <c:pt idx="8">
                    <c:v>0.63340183982508325</c:v>
                  </c:pt>
                  <c:pt idx="9">
                    <c:v>2.1172638436482121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'54.1-4'!$B$6:$B$20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49</c:v>
                </c:pt>
                <c:pt idx="3">
                  <c:v>72.5</c:v>
                </c:pt>
                <c:pt idx="4">
                  <c:v>93.5</c:v>
                </c:pt>
                <c:pt idx="5">
                  <c:v>100.5</c:v>
                </c:pt>
                <c:pt idx="6">
                  <c:v>145.5</c:v>
                </c:pt>
                <c:pt idx="7">
                  <c:v>169.5</c:v>
                </c:pt>
                <c:pt idx="8">
                  <c:v>196.5</c:v>
                </c:pt>
                <c:pt idx="9">
                  <c:v>218.5</c:v>
                </c:pt>
              </c:numCache>
            </c:numRef>
          </c:xVal>
          <c:yVal>
            <c:numRef>
              <c:f>'54.1-4'!$AE$6:$AE$20</c:f>
              <c:numCache>
                <c:formatCode>0.0</c:formatCode>
                <c:ptCount val="10"/>
                <c:pt idx="0">
                  <c:v>91.867263843648203</c:v>
                </c:pt>
                <c:pt idx="1">
                  <c:v>76.211726384364809</c:v>
                </c:pt>
                <c:pt idx="2">
                  <c:v>78.89902280130292</c:v>
                </c:pt>
                <c:pt idx="3">
                  <c:v>81.525244299674256</c:v>
                </c:pt>
                <c:pt idx="4">
                  <c:v>80.263029315960893</c:v>
                </c:pt>
                <c:pt idx="5">
                  <c:v>76.679967426710078</c:v>
                </c:pt>
                <c:pt idx="6">
                  <c:v>75.824918566775239</c:v>
                </c:pt>
                <c:pt idx="7">
                  <c:v>73.565146579804548</c:v>
                </c:pt>
                <c:pt idx="8">
                  <c:v>72.201140065146575</c:v>
                </c:pt>
                <c:pt idx="9">
                  <c:v>70.531758957654702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39-4F7E-B233-2FBBE9163925}"/>
            </c:ext>
          </c:extLst>
        </c:ser>
        <c:ser>
          <c:idx val="0"/>
          <c:order val="0"/>
          <c:tx>
            <c:v>Rhodo</c:v>
          </c:tx>
          <c:spPr>
            <a:ln w="28575">
              <a:noFill/>
            </a:ln>
          </c:spPr>
          <c:marker>
            <c:spPr>
              <a:noFill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'54.1-4'!$AD$6:$AD$20</c:f>
                <c:numCache>
                  <c:formatCode>General</c:formatCode>
                  <c:ptCount val="10"/>
                  <c:pt idx="0">
                    <c:v>0.42313944810314735</c:v>
                  </c:pt>
                  <c:pt idx="1">
                    <c:v>0.74745764457189856</c:v>
                  </c:pt>
                  <c:pt idx="2">
                    <c:v>1.0772603058080596</c:v>
                  </c:pt>
                  <c:pt idx="3">
                    <c:v>0.20493578814524299</c:v>
                  </c:pt>
                  <c:pt idx="4">
                    <c:v>2.7281143125411993</c:v>
                  </c:pt>
                  <c:pt idx="5">
                    <c:v>1.7616700042983657</c:v>
                  </c:pt>
                  <c:pt idx="6">
                    <c:v>2.4184433884230443</c:v>
                  </c:pt>
                  <c:pt idx="7">
                    <c:v>2.0998353503096956</c:v>
                  </c:pt>
                  <c:pt idx="8">
                    <c:v>2.1881154466684722</c:v>
                  </c:pt>
                  <c:pt idx="9">
                    <c:v>0.57581985438644023</c:v>
                  </c:pt>
                </c:numCache>
              </c:numRef>
            </c:plus>
            <c:minus>
              <c:numRef>
                <c:f>'54.1-4'!$AD$6:$AD$20</c:f>
                <c:numCache>
                  <c:formatCode>General</c:formatCode>
                  <c:ptCount val="10"/>
                  <c:pt idx="0">
                    <c:v>0.42313944810314735</c:v>
                  </c:pt>
                  <c:pt idx="1">
                    <c:v>0.74745764457189856</c:v>
                  </c:pt>
                  <c:pt idx="2">
                    <c:v>1.0772603058080596</c:v>
                  </c:pt>
                  <c:pt idx="3">
                    <c:v>0.20493578814524299</c:v>
                  </c:pt>
                  <c:pt idx="4">
                    <c:v>2.7281143125411993</c:v>
                  </c:pt>
                  <c:pt idx="5">
                    <c:v>1.7616700042983657</c:v>
                  </c:pt>
                  <c:pt idx="6">
                    <c:v>2.4184433884230443</c:v>
                  </c:pt>
                  <c:pt idx="7">
                    <c:v>2.0998353503096956</c:v>
                  </c:pt>
                  <c:pt idx="8">
                    <c:v>2.1881154466684722</c:v>
                  </c:pt>
                  <c:pt idx="9">
                    <c:v>0.57581985438644023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'54.1-4'!$B$6:$B$20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49</c:v>
                </c:pt>
                <c:pt idx="3">
                  <c:v>72.5</c:v>
                </c:pt>
                <c:pt idx="4">
                  <c:v>93.5</c:v>
                </c:pt>
                <c:pt idx="5">
                  <c:v>100.5</c:v>
                </c:pt>
                <c:pt idx="6">
                  <c:v>145.5</c:v>
                </c:pt>
                <c:pt idx="7">
                  <c:v>169.5</c:v>
                </c:pt>
                <c:pt idx="8">
                  <c:v>196.5</c:v>
                </c:pt>
                <c:pt idx="9">
                  <c:v>218.5</c:v>
                </c:pt>
              </c:numCache>
            </c:numRef>
          </c:xVal>
          <c:yVal>
            <c:numRef>
              <c:f>'54.1-4'!$AC$6:$AC$20</c:f>
              <c:numCache>
                <c:formatCode>0.0</c:formatCode>
                <c:ptCount val="10"/>
                <c:pt idx="0">
                  <c:v>45.491042345276881</c:v>
                </c:pt>
                <c:pt idx="1">
                  <c:v>35.210097719869708</c:v>
                </c:pt>
                <c:pt idx="2">
                  <c:v>40.767915309446259</c:v>
                </c:pt>
                <c:pt idx="3">
                  <c:v>41.012214983713349</c:v>
                </c:pt>
                <c:pt idx="4">
                  <c:v>37.849891422366994</c:v>
                </c:pt>
                <c:pt idx="5">
                  <c:v>31.606677524429966</c:v>
                </c:pt>
                <c:pt idx="6">
                  <c:v>28.023615635179155</c:v>
                </c:pt>
                <c:pt idx="7">
                  <c:v>24.908794788273617</c:v>
                </c:pt>
                <c:pt idx="8">
                  <c:v>23.300488599348533</c:v>
                </c:pt>
                <c:pt idx="9">
                  <c:v>18.495928338762216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39-4F7E-B233-2FBBE9163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684608"/>
        <c:axId val="87686528"/>
      </c:scatterChart>
      <c:valAx>
        <c:axId val="8768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7686528"/>
        <c:crosses val="autoZero"/>
        <c:crossBetween val="midCat"/>
      </c:valAx>
      <c:valAx>
        <c:axId val="876865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cresol concentration, mg/L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87684608"/>
        <c:crosses val="autoZero"/>
        <c:crossBetween val="midCat"/>
      </c:valAx>
    </c:plotArea>
    <c:legend>
      <c:legendPos val="r"/>
      <c:layout/>
      <c:overlay val="0"/>
      <c:spPr>
        <a:noFill/>
        <a:ln>
          <a:solidFill>
            <a:schemeClr val="accent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6"/>
          <c:order val="5"/>
          <c:tx>
            <c:v>Rho***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'54.1-4'!$AF$6:$AF$20</c:f>
                <c:numCache>
                  <c:formatCode>General</c:formatCode>
                  <c:ptCount val="10"/>
                  <c:pt idx="0">
                    <c:v>0.84627889620629482</c:v>
                  </c:pt>
                  <c:pt idx="1">
                    <c:v>2.4631587488301112</c:v>
                  </c:pt>
                  <c:pt idx="2">
                    <c:v>0.94587649750411973</c:v>
                  </c:pt>
                  <c:pt idx="3">
                    <c:v>1.065914979156998</c:v>
                  </c:pt>
                  <c:pt idx="4">
                    <c:v>0.51823786894779722</c:v>
                  </c:pt>
                  <c:pt idx="5">
                    <c:v>1.7850415485979636</c:v>
                  </c:pt>
                  <c:pt idx="6">
                    <c:v>0.57581985438645034</c:v>
                  </c:pt>
                  <c:pt idx="7">
                    <c:v>2.4196998117383806</c:v>
                  </c:pt>
                  <c:pt idx="8">
                    <c:v>0.63340183982508325</c:v>
                  </c:pt>
                  <c:pt idx="9">
                    <c:v>2.1172638436482121</c:v>
                  </c:pt>
                </c:numCache>
              </c:numRef>
            </c:plus>
            <c:minus>
              <c:numRef>
                <c:f>'54.1-4'!$AF$6:$AF$20</c:f>
                <c:numCache>
                  <c:formatCode>General</c:formatCode>
                  <c:ptCount val="10"/>
                  <c:pt idx="0">
                    <c:v>0.84627889620629482</c:v>
                  </c:pt>
                  <c:pt idx="1">
                    <c:v>2.4631587488301112</c:v>
                  </c:pt>
                  <c:pt idx="2">
                    <c:v>0.94587649750411973</c:v>
                  </c:pt>
                  <c:pt idx="3">
                    <c:v>1.065914979156998</c:v>
                  </c:pt>
                  <c:pt idx="4">
                    <c:v>0.51823786894779722</c:v>
                  </c:pt>
                  <c:pt idx="5">
                    <c:v>1.7850415485979636</c:v>
                  </c:pt>
                  <c:pt idx="6">
                    <c:v>0.57581985438645034</c:v>
                  </c:pt>
                  <c:pt idx="7">
                    <c:v>2.4196998117383806</c:v>
                  </c:pt>
                  <c:pt idx="8">
                    <c:v>0.63340183982508325</c:v>
                  </c:pt>
                  <c:pt idx="9">
                    <c:v>2.1172638436482121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'54.1-4'!$B$6:$B$20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49</c:v>
                </c:pt>
                <c:pt idx="3">
                  <c:v>72.5</c:v>
                </c:pt>
                <c:pt idx="4">
                  <c:v>93.5</c:v>
                </c:pt>
                <c:pt idx="5">
                  <c:v>100.5</c:v>
                </c:pt>
                <c:pt idx="6">
                  <c:v>145.5</c:v>
                </c:pt>
                <c:pt idx="7">
                  <c:v>169.5</c:v>
                </c:pt>
                <c:pt idx="8">
                  <c:v>196.5</c:v>
                </c:pt>
                <c:pt idx="9">
                  <c:v>218.5</c:v>
                </c:pt>
              </c:numCache>
            </c:numRef>
          </c:xVal>
          <c:yVal>
            <c:numRef>
              <c:f>'54.1-4'!$AE$6:$AE$20</c:f>
              <c:numCache>
                <c:formatCode>0.0</c:formatCode>
                <c:ptCount val="10"/>
                <c:pt idx="0">
                  <c:v>91.867263843648203</c:v>
                </c:pt>
                <c:pt idx="1">
                  <c:v>76.211726384364809</c:v>
                </c:pt>
                <c:pt idx="2">
                  <c:v>78.89902280130292</c:v>
                </c:pt>
                <c:pt idx="3">
                  <c:v>81.525244299674256</c:v>
                </c:pt>
                <c:pt idx="4">
                  <c:v>80.263029315960893</c:v>
                </c:pt>
                <c:pt idx="5">
                  <c:v>76.679967426710078</c:v>
                </c:pt>
                <c:pt idx="6">
                  <c:v>75.824918566775239</c:v>
                </c:pt>
                <c:pt idx="7">
                  <c:v>73.565146579804548</c:v>
                </c:pt>
                <c:pt idx="8">
                  <c:v>72.201140065146575</c:v>
                </c:pt>
                <c:pt idx="9">
                  <c:v>70.531758957654702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EB-42D2-8943-9ABA616F1979}"/>
            </c:ext>
          </c:extLst>
        </c:ser>
        <c:ser>
          <c:idx val="5"/>
          <c:order val="4"/>
          <c:tx>
            <c:v>Rho **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'[1]38.1'!$AB$5:$AB$13</c:f>
                <c:numCache>
                  <c:formatCode>General</c:formatCode>
                  <c:ptCount val="9"/>
                  <c:pt idx="0">
                    <c:v>0.35682251303268164</c:v>
                  </c:pt>
                  <c:pt idx="1">
                    <c:v>0.97810309216902935</c:v>
                  </c:pt>
                  <c:pt idx="2">
                    <c:v>0.8974911814412726</c:v>
                  </c:pt>
                  <c:pt idx="3">
                    <c:v>1.7139711058509124</c:v>
                  </c:pt>
                  <c:pt idx="4">
                    <c:v>1.7086429363483142</c:v>
                  </c:pt>
                  <c:pt idx="5">
                    <c:v>1.9282085380215024</c:v>
                  </c:pt>
                  <c:pt idx="6">
                    <c:v>4.0768696329271235</c:v>
                  </c:pt>
                  <c:pt idx="7">
                    <c:v>5.0498449181048368</c:v>
                  </c:pt>
                  <c:pt idx="8">
                    <c:v>9.8799195807880515</c:v>
                  </c:pt>
                </c:numCache>
              </c:numRef>
            </c:plus>
            <c:minus>
              <c:numRef>
                <c:f>'[1]38.1'!$AB$5:$AB$13</c:f>
                <c:numCache>
                  <c:formatCode>General</c:formatCode>
                  <c:ptCount val="9"/>
                  <c:pt idx="0">
                    <c:v>0.35682251303268164</c:v>
                  </c:pt>
                  <c:pt idx="1">
                    <c:v>0.97810309216902935</c:v>
                  </c:pt>
                  <c:pt idx="2">
                    <c:v>0.8974911814412726</c:v>
                  </c:pt>
                  <c:pt idx="3">
                    <c:v>1.7139711058509124</c:v>
                  </c:pt>
                  <c:pt idx="4">
                    <c:v>1.7086429363483142</c:v>
                  </c:pt>
                  <c:pt idx="5">
                    <c:v>1.9282085380215024</c:v>
                  </c:pt>
                  <c:pt idx="6">
                    <c:v>4.0768696329271235</c:v>
                  </c:pt>
                  <c:pt idx="7">
                    <c:v>5.0498449181048368</c:v>
                  </c:pt>
                  <c:pt idx="8">
                    <c:v>9.8799195807880515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'[1]38.1'!$E$5:$E$13</c:f>
              <c:numCache>
                <c:formatCode>General</c:formatCode>
                <c:ptCount val="9"/>
                <c:pt idx="0">
                  <c:v>0</c:v>
                </c:pt>
                <c:pt idx="1">
                  <c:v>26</c:v>
                </c:pt>
                <c:pt idx="2">
                  <c:v>46</c:v>
                </c:pt>
                <c:pt idx="3">
                  <c:v>70</c:v>
                </c:pt>
                <c:pt idx="4">
                  <c:v>101</c:v>
                </c:pt>
                <c:pt idx="5">
                  <c:v>116.5</c:v>
                </c:pt>
                <c:pt idx="6">
                  <c:v>146</c:v>
                </c:pt>
                <c:pt idx="7">
                  <c:v>189.5</c:v>
                </c:pt>
                <c:pt idx="8">
                  <c:v>236.5</c:v>
                </c:pt>
              </c:numCache>
            </c:numRef>
          </c:xVal>
          <c:yVal>
            <c:numRef>
              <c:f>'[1]38.1'!$AA$5:$AA$13</c:f>
              <c:numCache>
                <c:formatCode>General</c:formatCode>
                <c:ptCount val="9"/>
                <c:pt idx="0">
                  <c:v>31.376221498371336</c:v>
                </c:pt>
                <c:pt idx="1">
                  <c:v>30.371878393051034</c:v>
                </c:pt>
                <c:pt idx="2">
                  <c:v>27.98317046688382</c:v>
                </c:pt>
                <c:pt idx="3">
                  <c:v>30.68403908794788</c:v>
                </c:pt>
                <c:pt idx="4">
                  <c:v>30.663680781758959</c:v>
                </c:pt>
                <c:pt idx="5">
                  <c:v>25.974484256243215</c:v>
                </c:pt>
                <c:pt idx="6">
                  <c:v>18.021172638436482</c:v>
                </c:pt>
                <c:pt idx="7">
                  <c:v>5.846905537459282</c:v>
                </c:pt>
                <c:pt idx="8">
                  <c:v>1.155266015200868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EB-42D2-8943-9ABA616F1979}"/>
            </c:ext>
          </c:extLst>
        </c:ser>
        <c:ser>
          <c:idx val="1"/>
          <c:order val="1"/>
          <c:tx>
            <c:v>Pse</c:v>
          </c:tx>
          <c:spPr>
            <a:ln w="28575">
              <a:solidFill>
                <a:schemeClr val="tx1"/>
              </a:solidFill>
              <a:prstDash val="sysDot"/>
            </a:ln>
          </c:spPr>
          <c:errBars>
            <c:errDir val="y"/>
            <c:errBarType val="both"/>
            <c:errValType val="cust"/>
            <c:noEndCap val="0"/>
            <c:plus>
              <c:numRef>
                <c:f>'53.1'!$AC$5:$AC$20</c:f>
                <c:numCache>
                  <c:formatCode>General</c:formatCode>
                  <c:ptCount val="9"/>
                  <c:pt idx="0">
                    <c:v>0.4014253271617681</c:v>
                  </c:pt>
                  <c:pt idx="1">
                    <c:v>1.222402850075756</c:v>
                  </c:pt>
                  <c:pt idx="2">
                    <c:v>16.901134066503346</c:v>
                  </c:pt>
                  <c:pt idx="3">
                    <c:v>1.9850340324340991</c:v>
                  </c:pt>
                  <c:pt idx="4">
                    <c:v>1.7622345516624174</c:v>
                  </c:pt>
                  <c:pt idx="5">
                    <c:v>0.1410464827010505</c:v>
                  </c:pt>
                  <c:pt idx="6">
                    <c:v>1.5212981834095614</c:v>
                  </c:pt>
                  <c:pt idx="7">
                    <c:v>10.672804966568338</c:v>
                  </c:pt>
                  <c:pt idx="8">
                    <c:v>9.791308260420724</c:v>
                  </c:pt>
                </c:numCache>
              </c:numRef>
            </c:plus>
            <c:minus>
              <c:numRef>
                <c:f>'53.1'!$AC$5:$AC$20</c:f>
                <c:numCache>
                  <c:formatCode>General</c:formatCode>
                  <c:ptCount val="9"/>
                  <c:pt idx="0">
                    <c:v>0.4014253271617681</c:v>
                  </c:pt>
                  <c:pt idx="1">
                    <c:v>1.222402850075756</c:v>
                  </c:pt>
                  <c:pt idx="2">
                    <c:v>16.901134066503346</c:v>
                  </c:pt>
                  <c:pt idx="3">
                    <c:v>1.9850340324340991</c:v>
                  </c:pt>
                  <c:pt idx="4">
                    <c:v>1.7622345516624174</c:v>
                  </c:pt>
                  <c:pt idx="5">
                    <c:v>0.1410464827010505</c:v>
                  </c:pt>
                  <c:pt idx="6">
                    <c:v>1.5212981834095614</c:v>
                  </c:pt>
                  <c:pt idx="7">
                    <c:v>10.672804966568338</c:v>
                  </c:pt>
                  <c:pt idx="8">
                    <c:v>9.791308260420724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'53.1'!$A$5:$A$20</c:f>
              <c:numCache>
                <c:formatCode>General</c:formatCode>
                <c:ptCount val="9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5">
                  <c:v>114</c:v>
                </c:pt>
                <c:pt idx="6">
                  <c:v>166</c:v>
                </c:pt>
                <c:pt idx="7">
                  <c:v>217</c:v>
                </c:pt>
                <c:pt idx="8">
                  <c:v>239</c:v>
                </c:pt>
              </c:numCache>
            </c:numRef>
          </c:xVal>
          <c:yVal>
            <c:numRef>
              <c:f>'53.1'!$AB$5:$AB$20</c:f>
              <c:numCache>
                <c:formatCode>0.0</c:formatCode>
                <c:ptCount val="9"/>
                <c:pt idx="0">
                  <c:v>45.417752442996751</c:v>
                </c:pt>
                <c:pt idx="1">
                  <c:v>33.28963083604777</c:v>
                </c:pt>
                <c:pt idx="2">
                  <c:v>25.579900994342534</c:v>
                </c:pt>
                <c:pt idx="3">
                  <c:v>38.105048859934854</c:v>
                </c:pt>
                <c:pt idx="4">
                  <c:v>34.97801302931596</c:v>
                </c:pt>
                <c:pt idx="5">
                  <c:v>32.013843648208471</c:v>
                </c:pt>
                <c:pt idx="6">
                  <c:v>27.53501628664495</c:v>
                </c:pt>
                <c:pt idx="7">
                  <c:v>14.935721326932969</c:v>
                </c:pt>
                <c:pt idx="8">
                  <c:v>13.447068403908794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EB-42D2-8943-9ABA616F1979}"/>
            </c:ext>
          </c:extLst>
        </c:ser>
        <c:ser>
          <c:idx val="2"/>
          <c:order val="2"/>
          <c:tx>
            <c:v>Rho</c:v>
          </c:tx>
          <c:spPr>
            <a:ln w="25400" cmpd="sng">
              <a:solidFill>
                <a:schemeClr val="tx1"/>
              </a:solidFill>
              <a:prstDash val="dashDot"/>
            </a:ln>
          </c:spPr>
          <c:errBars>
            <c:errDir val="y"/>
            <c:errBarType val="both"/>
            <c:errValType val="cust"/>
            <c:noEndCap val="0"/>
            <c:plus>
              <c:numRef>
                <c:f>'54.1-4'!$AD$6:$AD$20</c:f>
                <c:numCache>
                  <c:formatCode>General</c:formatCode>
                  <c:ptCount val="10"/>
                  <c:pt idx="0">
                    <c:v>0.42313944810314735</c:v>
                  </c:pt>
                  <c:pt idx="1">
                    <c:v>0.74745764457189856</c:v>
                  </c:pt>
                  <c:pt idx="2">
                    <c:v>1.0772603058080596</c:v>
                  </c:pt>
                  <c:pt idx="3">
                    <c:v>0.20493578814524299</c:v>
                  </c:pt>
                  <c:pt idx="4">
                    <c:v>2.7281143125411993</c:v>
                  </c:pt>
                  <c:pt idx="5">
                    <c:v>1.7616700042983657</c:v>
                  </c:pt>
                  <c:pt idx="6">
                    <c:v>2.4184433884230443</c:v>
                  </c:pt>
                  <c:pt idx="7">
                    <c:v>2.0998353503096956</c:v>
                  </c:pt>
                  <c:pt idx="8">
                    <c:v>2.1881154466684722</c:v>
                  </c:pt>
                  <c:pt idx="9">
                    <c:v>0.57581985438644023</c:v>
                  </c:pt>
                </c:numCache>
              </c:numRef>
            </c:plus>
            <c:minus>
              <c:numRef>
                <c:f>'54.1-4'!$AD$6:$AD$20</c:f>
                <c:numCache>
                  <c:formatCode>General</c:formatCode>
                  <c:ptCount val="10"/>
                  <c:pt idx="0">
                    <c:v>0.42313944810314735</c:v>
                  </c:pt>
                  <c:pt idx="1">
                    <c:v>0.74745764457189856</c:v>
                  </c:pt>
                  <c:pt idx="2">
                    <c:v>1.0772603058080596</c:v>
                  </c:pt>
                  <c:pt idx="3">
                    <c:v>0.20493578814524299</c:v>
                  </c:pt>
                  <c:pt idx="4">
                    <c:v>2.7281143125411993</c:v>
                  </c:pt>
                  <c:pt idx="5">
                    <c:v>1.7616700042983657</c:v>
                  </c:pt>
                  <c:pt idx="6">
                    <c:v>2.4184433884230443</c:v>
                  </c:pt>
                  <c:pt idx="7">
                    <c:v>2.0998353503096956</c:v>
                  </c:pt>
                  <c:pt idx="8">
                    <c:v>2.1881154466684722</c:v>
                  </c:pt>
                  <c:pt idx="9">
                    <c:v>0.57581985438644023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'54.1-4'!$B$6:$B$20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49</c:v>
                </c:pt>
                <c:pt idx="3">
                  <c:v>72.5</c:v>
                </c:pt>
                <c:pt idx="4">
                  <c:v>93.5</c:v>
                </c:pt>
                <c:pt idx="5">
                  <c:v>100.5</c:v>
                </c:pt>
                <c:pt idx="6">
                  <c:v>145.5</c:v>
                </c:pt>
                <c:pt idx="7">
                  <c:v>169.5</c:v>
                </c:pt>
                <c:pt idx="8">
                  <c:v>196.5</c:v>
                </c:pt>
                <c:pt idx="9">
                  <c:v>218.5</c:v>
                </c:pt>
              </c:numCache>
            </c:numRef>
          </c:xVal>
          <c:yVal>
            <c:numRef>
              <c:f>'54.1-4'!$AC$6:$AC$20</c:f>
              <c:numCache>
                <c:formatCode>0.0</c:formatCode>
                <c:ptCount val="10"/>
                <c:pt idx="0">
                  <c:v>45.491042345276881</c:v>
                </c:pt>
                <c:pt idx="1">
                  <c:v>35.210097719869708</c:v>
                </c:pt>
                <c:pt idx="2">
                  <c:v>40.767915309446259</c:v>
                </c:pt>
                <c:pt idx="3">
                  <c:v>41.012214983713349</c:v>
                </c:pt>
                <c:pt idx="4">
                  <c:v>37.849891422366994</c:v>
                </c:pt>
                <c:pt idx="5">
                  <c:v>31.606677524429966</c:v>
                </c:pt>
                <c:pt idx="6">
                  <c:v>28.023615635179155</c:v>
                </c:pt>
                <c:pt idx="7">
                  <c:v>24.908794788273617</c:v>
                </c:pt>
                <c:pt idx="8">
                  <c:v>23.300488599348533</c:v>
                </c:pt>
                <c:pt idx="9">
                  <c:v>18.495928338762216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EEB-42D2-8943-9ABA616F1979}"/>
            </c:ext>
          </c:extLst>
        </c:ser>
        <c:ser>
          <c:idx val="4"/>
          <c:order val="3"/>
          <c:tx>
            <c:v>Acn*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'52.1'!$AB$20:$AB$24</c:f>
                <c:numCache>
                  <c:formatCode>General</c:formatCode>
                  <c:ptCount val="5"/>
                  <c:pt idx="0">
                    <c:v>0.16286644951140161</c:v>
                  </c:pt>
                  <c:pt idx="1">
                    <c:v>6.6819918320556395</c:v>
                  </c:pt>
                  <c:pt idx="3">
                    <c:v>3.6512003979327106</c:v>
                  </c:pt>
                  <c:pt idx="4">
                    <c:v>0</c:v>
                  </c:pt>
                </c:numCache>
              </c:numRef>
            </c:plus>
            <c:minus>
              <c:numRef>
                <c:f>'52.1'!$AB$20:$AB$24</c:f>
                <c:numCache>
                  <c:formatCode>General</c:formatCode>
                  <c:ptCount val="5"/>
                  <c:pt idx="0">
                    <c:v>0.16286644951140161</c:v>
                  </c:pt>
                  <c:pt idx="1">
                    <c:v>6.6819918320556395</c:v>
                  </c:pt>
                  <c:pt idx="3">
                    <c:v>3.6512003979327106</c:v>
                  </c:pt>
                  <c:pt idx="4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'52.1'!$A$20:$A$24</c:f>
              <c:numCache>
                <c:formatCode>General</c:formatCode>
                <c:ptCount val="5"/>
                <c:pt idx="0">
                  <c:v>0</c:v>
                </c:pt>
                <c:pt idx="1">
                  <c:v>21</c:v>
                </c:pt>
                <c:pt idx="3">
                  <c:v>49.5</c:v>
                </c:pt>
                <c:pt idx="4">
                  <c:v>90</c:v>
                </c:pt>
              </c:numCache>
            </c:numRef>
          </c:xVal>
          <c:yVal>
            <c:numRef>
              <c:f>'52.1'!$AA$20:$AA$24</c:f>
              <c:numCache>
                <c:formatCode>0.0</c:formatCode>
                <c:ptCount val="5"/>
                <c:pt idx="0">
                  <c:v>43.170195439739416</c:v>
                </c:pt>
                <c:pt idx="1">
                  <c:v>36.818403908794792</c:v>
                </c:pt>
                <c:pt idx="3">
                  <c:v>13.827090119435397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EEB-42D2-8943-9ABA616F1979}"/>
            </c:ext>
          </c:extLst>
        </c:ser>
        <c:ser>
          <c:idx val="0"/>
          <c:order val="0"/>
          <c:tx>
            <c:v>Acn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plus>
            <c:min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'52.1'!$A$5:$A$19</c:f>
              <c:numCache>
                <c:formatCode>General</c:formatCode>
                <c:ptCount val="15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6">
                  <c:v>138</c:v>
                </c:pt>
                <c:pt idx="9">
                  <c:v>190</c:v>
                </c:pt>
                <c:pt idx="10">
                  <c:v>212.75</c:v>
                </c:pt>
                <c:pt idx="13">
                  <c:v>236.75</c:v>
                </c:pt>
                <c:pt idx="14">
                  <c:v>263.75</c:v>
                </c:pt>
              </c:numCache>
            </c:numRef>
          </c:xVal>
          <c:yVal>
            <c:numRef>
              <c:f>'52.1'!$AA$5:$AA$19</c:f>
              <c:numCache>
                <c:formatCode>0.0</c:formatCode>
                <c:ptCount val="15"/>
                <c:pt idx="0">
                  <c:v>45.491042345276874</c:v>
                </c:pt>
                <c:pt idx="1">
                  <c:v>39.940010857763298</c:v>
                </c:pt>
                <c:pt idx="3">
                  <c:v>38.189196525515747</c:v>
                </c:pt>
                <c:pt idx="4">
                  <c:v>37.307003257328994</c:v>
                </c:pt>
                <c:pt idx="6">
                  <c:v>33.174267100977197</c:v>
                </c:pt>
                <c:pt idx="9">
                  <c:v>22.974755700325733</c:v>
                </c:pt>
                <c:pt idx="10">
                  <c:v>16.704397394136809</c:v>
                </c:pt>
                <c:pt idx="13">
                  <c:v>6.7571517412935327</c:v>
                </c:pt>
                <c:pt idx="14">
                  <c:v>0.10914179104477612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EEB-42D2-8943-9ABA616F1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137920"/>
        <c:axId val="89139840"/>
      </c:scatterChart>
      <c:valAx>
        <c:axId val="89137920"/>
        <c:scaling>
          <c:orientation val="minMax"/>
          <c:max val="2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9139840"/>
        <c:crosses val="autoZero"/>
        <c:crossBetween val="midCat"/>
      </c:valAx>
      <c:valAx>
        <c:axId val="89139840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cresol concentration, mg/L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891379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3"/>
          <c:order val="6"/>
          <c:tx>
            <c:strRef>
              <c:f>'[1]39.1'!$A$1</c:f>
              <c:strCache>
                <c:ptCount val="1"/>
                <c:pt idx="0">
                  <c:v>Rho ****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ysDash"/>
            </a:ln>
          </c:spPr>
          <c:marker>
            <c:symbol val="square"/>
            <c:size val="7"/>
            <c:spPr>
              <a:noFill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'[1]39.1'!$AB$5:$AB$12</c:f>
                <c:numCache>
                  <c:formatCode>General</c:formatCode>
                  <c:ptCount val="8"/>
                  <c:pt idx="0">
                    <c:v>0.35682251303268164</c:v>
                  </c:pt>
                  <c:pt idx="1">
                    <c:v>1.0114343082235941</c:v>
                  </c:pt>
                  <c:pt idx="2">
                    <c:v>0.63705560962892405</c:v>
                  </c:pt>
                  <c:pt idx="3">
                    <c:v>1.0222491887975329</c:v>
                  </c:pt>
                  <c:pt idx="4">
                    <c:v>0</c:v>
                  </c:pt>
                  <c:pt idx="5">
                    <c:v>1.1385129809225578</c:v>
                  </c:pt>
                  <c:pt idx="6">
                    <c:v>1.8808548321279783</c:v>
                  </c:pt>
                  <c:pt idx="7">
                    <c:v>1.5388509546436056</c:v>
                  </c:pt>
                </c:numCache>
              </c:numRef>
            </c:plus>
            <c:minus>
              <c:numRef>
                <c:f>'[1]39.1'!$AB$5:$AB$12</c:f>
                <c:numCache>
                  <c:formatCode>General</c:formatCode>
                  <c:ptCount val="8"/>
                  <c:pt idx="0">
                    <c:v>0.35682251303268164</c:v>
                  </c:pt>
                  <c:pt idx="1">
                    <c:v>1.0114343082235941</c:v>
                  </c:pt>
                  <c:pt idx="2">
                    <c:v>0.63705560962892405</c:v>
                  </c:pt>
                  <c:pt idx="3">
                    <c:v>1.0222491887975329</c:v>
                  </c:pt>
                  <c:pt idx="4">
                    <c:v>0</c:v>
                  </c:pt>
                  <c:pt idx="5">
                    <c:v>1.1385129809225578</c:v>
                  </c:pt>
                  <c:pt idx="6">
                    <c:v>1.8808548321279783</c:v>
                  </c:pt>
                  <c:pt idx="7">
                    <c:v>1.5388509546436056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'[1]39.1'!$E$5:$E$13</c:f>
              <c:numCache>
                <c:formatCode>General</c:formatCode>
                <c:ptCount val="9"/>
                <c:pt idx="0">
                  <c:v>0</c:v>
                </c:pt>
                <c:pt idx="1">
                  <c:v>26</c:v>
                </c:pt>
                <c:pt idx="2">
                  <c:v>46</c:v>
                </c:pt>
                <c:pt idx="3">
                  <c:v>70</c:v>
                </c:pt>
                <c:pt idx="4">
                  <c:v>116.5</c:v>
                </c:pt>
                <c:pt idx="5">
                  <c:v>116.5</c:v>
                </c:pt>
                <c:pt idx="6">
                  <c:v>146</c:v>
                </c:pt>
                <c:pt idx="7">
                  <c:v>189.5</c:v>
                </c:pt>
                <c:pt idx="8">
                  <c:v>236.5</c:v>
                </c:pt>
              </c:numCache>
            </c:numRef>
          </c:xVal>
          <c:yVal>
            <c:numRef>
              <c:f>'[1]39.1'!$AA$5:$AA$12</c:f>
              <c:numCache>
                <c:formatCode>General</c:formatCode>
                <c:ptCount val="8"/>
                <c:pt idx="0">
                  <c:v>31.376221498371336</c:v>
                </c:pt>
                <c:pt idx="1">
                  <c:v>31.240499457111834</c:v>
                </c:pt>
                <c:pt idx="2">
                  <c:v>30.480456026058633</c:v>
                </c:pt>
                <c:pt idx="3">
                  <c:v>32.821661237785015</c:v>
                </c:pt>
                <c:pt idx="4">
                  <c:v>-8.8517915309446256</c:v>
                </c:pt>
                <c:pt idx="5">
                  <c:v>28.878935939196527</c:v>
                </c:pt>
                <c:pt idx="6">
                  <c:v>20.02985884907709</c:v>
                </c:pt>
                <c:pt idx="7">
                  <c:v>4.1368078175895766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41-4DF0-A7AE-8E01116F24E6}"/>
            </c:ext>
          </c:extLst>
        </c:ser>
        <c:ser>
          <c:idx val="6"/>
          <c:order val="5"/>
          <c:tx>
            <c:v>Rho***</c:v>
          </c:tx>
          <c:spPr>
            <a:ln w="28575">
              <a:solidFill>
                <a:schemeClr val="tx1"/>
              </a:solidFill>
              <a:prstDash val="lgDash"/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'54.1-4'!$AF$6:$AF$20</c:f>
                <c:numCache>
                  <c:formatCode>General</c:formatCode>
                  <c:ptCount val="10"/>
                  <c:pt idx="0">
                    <c:v>0.84627889620629482</c:v>
                  </c:pt>
                  <c:pt idx="1">
                    <c:v>2.4631587488301112</c:v>
                  </c:pt>
                  <c:pt idx="2">
                    <c:v>0.94587649750411973</c:v>
                  </c:pt>
                  <c:pt idx="3">
                    <c:v>1.065914979156998</c:v>
                  </c:pt>
                  <c:pt idx="4">
                    <c:v>0.51823786894779722</c:v>
                  </c:pt>
                  <c:pt idx="5">
                    <c:v>1.7850415485979636</c:v>
                  </c:pt>
                  <c:pt idx="6">
                    <c:v>0.57581985438645034</c:v>
                  </c:pt>
                  <c:pt idx="7">
                    <c:v>2.4196998117383806</c:v>
                  </c:pt>
                  <c:pt idx="8">
                    <c:v>0.63340183982508325</c:v>
                  </c:pt>
                  <c:pt idx="9">
                    <c:v>2.1172638436482121</c:v>
                  </c:pt>
                </c:numCache>
              </c:numRef>
            </c:plus>
            <c:minus>
              <c:numRef>
                <c:f>'54.1-4'!$AF$6:$AF$20</c:f>
                <c:numCache>
                  <c:formatCode>General</c:formatCode>
                  <c:ptCount val="10"/>
                  <c:pt idx="0">
                    <c:v>0.84627889620629482</c:v>
                  </c:pt>
                  <c:pt idx="1">
                    <c:v>2.4631587488301112</c:v>
                  </c:pt>
                  <c:pt idx="2">
                    <c:v>0.94587649750411973</c:v>
                  </c:pt>
                  <c:pt idx="3">
                    <c:v>1.065914979156998</c:v>
                  </c:pt>
                  <c:pt idx="4">
                    <c:v>0.51823786894779722</c:v>
                  </c:pt>
                  <c:pt idx="5">
                    <c:v>1.7850415485979636</c:v>
                  </c:pt>
                  <c:pt idx="6">
                    <c:v>0.57581985438645034</c:v>
                  </c:pt>
                  <c:pt idx="7">
                    <c:v>2.4196998117383806</c:v>
                  </c:pt>
                  <c:pt idx="8">
                    <c:v>0.63340183982508325</c:v>
                  </c:pt>
                  <c:pt idx="9">
                    <c:v>2.1172638436482121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'54.1-4'!$B$6:$B$20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49</c:v>
                </c:pt>
                <c:pt idx="3">
                  <c:v>72.5</c:v>
                </c:pt>
                <c:pt idx="4">
                  <c:v>93.5</c:v>
                </c:pt>
                <c:pt idx="5">
                  <c:v>100.5</c:v>
                </c:pt>
                <c:pt idx="6">
                  <c:v>145.5</c:v>
                </c:pt>
                <c:pt idx="7">
                  <c:v>169.5</c:v>
                </c:pt>
                <c:pt idx="8">
                  <c:v>196.5</c:v>
                </c:pt>
                <c:pt idx="9">
                  <c:v>218.5</c:v>
                </c:pt>
              </c:numCache>
            </c:numRef>
          </c:xVal>
          <c:yVal>
            <c:numRef>
              <c:f>'54.1-4'!$AE$6:$AE$20</c:f>
              <c:numCache>
                <c:formatCode>0.0</c:formatCode>
                <c:ptCount val="10"/>
                <c:pt idx="0">
                  <c:v>91.867263843648203</c:v>
                </c:pt>
                <c:pt idx="1">
                  <c:v>76.211726384364809</c:v>
                </c:pt>
                <c:pt idx="2">
                  <c:v>78.89902280130292</c:v>
                </c:pt>
                <c:pt idx="3">
                  <c:v>81.525244299674256</c:v>
                </c:pt>
                <c:pt idx="4">
                  <c:v>80.263029315960893</c:v>
                </c:pt>
                <c:pt idx="5">
                  <c:v>76.679967426710078</c:v>
                </c:pt>
                <c:pt idx="6">
                  <c:v>75.824918566775239</c:v>
                </c:pt>
                <c:pt idx="7">
                  <c:v>73.565146579804548</c:v>
                </c:pt>
                <c:pt idx="8">
                  <c:v>72.201140065146575</c:v>
                </c:pt>
                <c:pt idx="9">
                  <c:v>70.531758957654702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41-4DF0-A7AE-8E01116F24E6}"/>
            </c:ext>
          </c:extLst>
        </c:ser>
        <c:ser>
          <c:idx val="5"/>
          <c:order val="4"/>
          <c:tx>
            <c:v>Rho **</c:v>
          </c:tx>
          <c:spPr>
            <a:ln w="28575">
              <a:solidFill>
                <a:schemeClr val="accent1"/>
              </a:solidFill>
            </a:ln>
          </c:spPr>
          <c:marker>
            <c:spPr>
              <a:noFill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'[1]38.1'!$AB$5:$AB$13</c:f>
                <c:numCache>
                  <c:formatCode>General</c:formatCode>
                  <c:ptCount val="9"/>
                  <c:pt idx="0">
                    <c:v>0.35682251303268164</c:v>
                  </c:pt>
                  <c:pt idx="1">
                    <c:v>0.97810309216902935</c:v>
                  </c:pt>
                  <c:pt idx="2">
                    <c:v>0.8974911814412726</c:v>
                  </c:pt>
                  <c:pt idx="3">
                    <c:v>1.7139711058509124</c:v>
                  </c:pt>
                  <c:pt idx="4">
                    <c:v>1.7086429363483142</c:v>
                  </c:pt>
                  <c:pt idx="5">
                    <c:v>1.9282085380215024</c:v>
                  </c:pt>
                  <c:pt idx="6">
                    <c:v>4.0768696329271235</c:v>
                  </c:pt>
                  <c:pt idx="7">
                    <c:v>5.0498449181048368</c:v>
                  </c:pt>
                  <c:pt idx="8">
                    <c:v>9.8799195807880515</c:v>
                  </c:pt>
                </c:numCache>
              </c:numRef>
            </c:plus>
            <c:minus>
              <c:numRef>
                <c:f>'[1]38.1'!$AB$5:$AB$13</c:f>
                <c:numCache>
                  <c:formatCode>General</c:formatCode>
                  <c:ptCount val="9"/>
                  <c:pt idx="0">
                    <c:v>0.35682251303268164</c:v>
                  </c:pt>
                  <c:pt idx="1">
                    <c:v>0.97810309216902935</c:v>
                  </c:pt>
                  <c:pt idx="2">
                    <c:v>0.8974911814412726</c:v>
                  </c:pt>
                  <c:pt idx="3">
                    <c:v>1.7139711058509124</c:v>
                  </c:pt>
                  <c:pt idx="4">
                    <c:v>1.7086429363483142</c:v>
                  </c:pt>
                  <c:pt idx="5">
                    <c:v>1.9282085380215024</c:v>
                  </c:pt>
                  <c:pt idx="6">
                    <c:v>4.0768696329271235</c:v>
                  </c:pt>
                  <c:pt idx="7">
                    <c:v>5.0498449181048368</c:v>
                  </c:pt>
                  <c:pt idx="8">
                    <c:v>9.8799195807880515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'[1]38.1'!$E$5:$E$13</c:f>
              <c:numCache>
                <c:formatCode>General</c:formatCode>
                <c:ptCount val="9"/>
                <c:pt idx="0">
                  <c:v>0</c:v>
                </c:pt>
                <c:pt idx="1">
                  <c:v>26</c:v>
                </c:pt>
                <c:pt idx="2">
                  <c:v>46</c:v>
                </c:pt>
                <c:pt idx="3">
                  <c:v>70</c:v>
                </c:pt>
                <c:pt idx="4">
                  <c:v>101</c:v>
                </c:pt>
                <c:pt idx="5">
                  <c:v>116.5</c:v>
                </c:pt>
                <c:pt idx="6">
                  <c:v>146</c:v>
                </c:pt>
                <c:pt idx="7">
                  <c:v>189.5</c:v>
                </c:pt>
                <c:pt idx="8">
                  <c:v>236.5</c:v>
                </c:pt>
              </c:numCache>
            </c:numRef>
          </c:xVal>
          <c:yVal>
            <c:numRef>
              <c:f>'[1]38.1'!$AA$5:$AA$13</c:f>
              <c:numCache>
                <c:formatCode>General</c:formatCode>
                <c:ptCount val="9"/>
                <c:pt idx="0">
                  <c:v>31.376221498371336</c:v>
                </c:pt>
                <c:pt idx="1">
                  <c:v>30.371878393051034</c:v>
                </c:pt>
                <c:pt idx="2">
                  <c:v>27.98317046688382</c:v>
                </c:pt>
                <c:pt idx="3">
                  <c:v>30.68403908794788</c:v>
                </c:pt>
                <c:pt idx="4">
                  <c:v>30.663680781758959</c:v>
                </c:pt>
                <c:pt idx="5">
                  <c:v>25.974484256243215</c:v>
                </c:pt>
                <c:pt idx="6">
                  <c:v>18.021172638436482</c:v>
                </c:pt>
                <c:pt idx="7">
                  <c:v>5.846905537459282</c:v>
                </c:pt>
                <c:pt idx="8">
                  <c:v>1.155266015200868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541-4DF0-A7AE-8E01116F24E6}"/>
            </c:ext>
          </c:extLst>
        </c:ser>
        <c:ser>
          <c:idx val="1"/>
          <c:order val="1"/>
          <c:tx>
            <c:v>Pse</c:v>
          </c:tx>
          <c:spPr>
            <a:ln w="28575">
              <a:solidFill>
                <a:schemeClr val="tx1"/>
              </a:solidFill>
              <a:prstDash val="sysDot"/>
            </a:ln>
          </c:spPr>
          <c:errBars>
            <c:errDir val="y"/>
            <c:errBarType val="both"/>
            <c:errValType val="cust"/>
            <c:noEndCap val="0"/>
            <c:plus>
              <c:numRef>
                <c:f>'53.1'!$AC$5:$AC$20</c:f>
                <c:numCache>
                  <c:formatCode>General</c:formatCode>
                  <c:ptCount val="9"/>
                  <c:pt idx="0">
                    <c:v>0.4014253271617681</c:v>
                  </c:pt>
                  <c:pt idx="1">
                    <c:v>1.222402850075756</c:v>
                  </c:pt>
                  <c:pt idx="2">
                    <c:v>16.901134066503346</c:v>
                  </c:pt>
                  <c:pt idx="3">
                    <c:v>1.9850340324340991</c:v>
                  </c:pt>
                  <c:pt idx="4">
                    <c:v>1.7622345516624174</c:v>
                  </c:pt>
                  <c:pt idx="5">
                    <c:v>0.1410464827010505</c:v>
                  </c:pt>
                  <c:pt idx="6">
                    <c:v>1.5212981834095614</c:v>
                  </c:pt>
                  <c:pt idx="7">
                    <c:v>10.672804966568338</c:v>
                  </c:pt>
                  <c:pt idx="8">
                    <c:v>9.791308260420724</c:v>
                  </c:pt>
                </c:numCache>
              </c:numRef>
            </c:plus>
            <c:minus>
              <c:numRef>
                <c:f>'53.1'!$AC$5:$AC$20</c:f>
                <c:numCache>
                  <c:formatCode>General</c:formatCode>
                  <c:ptCount val="9"/>
                  <c:pt idx="0">
                    <c:v>0.4014253271617681</c:v>
                  </c:pt>
                  <c:pt idx="1">
                    <c:v>1.222402850075756</c:v>
                  </c:pt>
                  <c:pt idx="2">
                    <c:v>16.901134066503346</c:v>
                  </c:pt>
                  <c:pt idx="3">
                    <c:v>1.9850340324340991</c:v>
                  </c:pt>
                  <c:pt idx="4">
                    <c:v>1.7622345516624174</c:v>
                  </c:pt>
                  <c:pt idx="5">
                    <c:v>0.1410464827010505</c:v>
                  </c:pt>
                  <c:pt idx="6">
                    <c:v>1.5212981834095614</c:v>
                  </c:pt>
                  <c:pt idx="7">
                    <c:v>10.672804966568338</c:v>
                  </c:pt>
                  <c:pt idx="8">
                    <c:v>9.791308260420724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'53.1'!$A$5:$A$20</c:f>
              <c:numCache>
                <c:formatCode>General</c:formatCode>
                <c:ptCount val="9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5">
                  <c:v>114</c:v>
                </c:pt>
                <c:pt idx="6">
                  <c:v>166</c:v>
                </c:pt>
                <c:pt idx="7">
                  <c:v>217</c:v>
                </c:pt>
                <c:pt idx="8">
                  <c:v>239</c:v>
                </c:pt>
              </c:numCache>
            </c:numRef>
          </c:xVal>
          <c:yVal>
            <c:numRef>
              <c:f>'53.1'!$AB$5:$AB$20</c:f>
              <c:numCache>
                <c:formatCode>0.0</c:formatCode>
                <c:ptCount val="9"/>
                <c:pt idx="0">
                  <c:v>45.417752442996751</c:v>
                </c:pt>
                <c:pt idx="1">
                  <c:v>33.28963083604777</c:v>
                </c:pt>
                <c:pt idx="2">
                  <c:v>25.579900994342534</c:v>
                </c:pt>
                <c:pt idx="3">
                  <c:v>38.105048859934854</c:v>
                </c:pt>
                <c:pt idx="4">
                  <c:v>34.97801302931596</c:v>
                </c:pt>
                <c:pt idx="5">
                  <c:v>32.013843648208471</c:v>
                </c:pt>
                <c:pt idx="6">
                  <c:v>27.53501628664495</c:v>
                </c:pt>
                <c:pt idx="7">
                  <c:v>14.935721326932969</c:v>
                </c:pt>
                <c:pt idx="8">
                  <c:v>13.447068403908794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541-4DF0-A7AE-8E01116F24E6}"/>
            </c:ext>
          </c:extLst>
        </c:ser>
        <c:ser>
          <c:idx val="2"/>
          <c:order val="2"/>
          <c:tx>
            <c:v>Rho</c:v>
          </c:tx>
          <c:spPr>
            <a:ln w="25400" cmpd="sng">
              <a:solidFill>
                <a:schemeClr val="tx1"/>
              </a:solidFill>
              <a:prstDash val="dashDot"/>
            </a:ln>
          </c:spPr>
          <c:errBars>
            <c:errDir val="y"/>
            <c:errBarType val="both"/>
            <c:errValType val="cust"/>
            <c:noEndCap val="0"/>
            <c:plus>
              <c:numRef>
                <c:f>'54.1-4'!$AD$6:$AD$20</c:f>
                <c:numCache>
                  <c:formatCode>General</c:formatCode>
                  <c:ptCount val="10"/>
                  <c:pt idx="0">
                    <c:v>0.42313944810314735</c:v>
                  </c:pt>
                  <c:pt idx="1">
                    <c:v>0.74745764457189856</c:v>
                  </c:pt>
                  <c:pt idx="2">
                    <c:v>1.0772603058080596</c:v>
                  </c:pt>
                  <c:pt idx="3">
                    <c:v>0.20493578814524299</c:v>
                  </c:pt>
                  <c:pt idx="4">
                    <c:v>2.7281143125411993</c:v>
                  </c:pt>
                  <c:pt idx="5">
                    <c:v>1.7616700042983657</c:v>
                  </c:pt>
                  <c:pt idx="6">
                    <c:v>2.4184433884230443</c:v>
                  </c:pt>
                  <c:pt idx="7">
                    <c:v>2.0998353503096956</c:v>
                  </c:pt>
                  <c:pt idx="8">
                    <c:v>2.1881154466684722</c:v>
                  </c:pt>
                  <c:pt idx="9">
                    <c:v>0.57581985438644023</c:v>
                  </c:pt>
                </c:numCache>
              </c:numRef>
            </c:plus>
            <c:minus>
              <c:numRef>
                <c:f>'54.1-4'!$AD$6:$AD$20</c:f>
                <c:numCache>
                  <c:formatCode>General</c:formatCode>
                  <c:ptCount val="10"/>
                  <c:pt idx="0">
                    <c:v>0.42313944810314735</c:v>
                  </c:pt>
                  <c:pt idx="1">
                    <c:v>0.74745764457189856</c:v>
                  </c:pt>
                  <c:pt idx="2">
                    <c:v>1.0772603058080596</c:v>
                  </c:pt>
                  <c:pt idx="3">
                    <c:v>0.20493578814524299</c:v>
                  </c:pt>
                  <c:pt idx="4">
                    <c:v>2.7281143125411993</c:v>
                  </c:pt>
                  <c:pt idx="5">
                    <c:v>1.7616700042983657</c:v>
                  </c:pt>
                  <c:pt idx="6">
                    <c:v>2.4184433884230443</c:v>
                  </c:pt>
                  <c:pt idx="7">
                    <c:v>2.0998353503096956</c:v>
                  </c:pt>
                  <c:pt idx="8">
                    <c:v>2.1881154466684722</c:v>
                  </c:pt>
                  <c:pt idx="9">
                    <c:v>0.57581985438644023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'54.1-4'!$B$6:$B$20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49</c:v>
                </c:pt>
                <c:pt idx="3">
                  <c:v>72.5</c:v>
                </c:pt>
                <c:pt idx="4">
                  <c:v>93.5</c:v>
                </c:pt>
                <c:pt idx="5">
                  <c:v>100.5</c:v>
                </c:pt>
                <c:pt idx="6">
                  <c:v>145.5</c:v>
                </c:pt>
                <c:pt idx="7">
                  <c:v>169.5</c:v>
                </c:pt>
                <c:pt idx="8">
                  <c:v>196.5</c:v>
                </c:pt>
                <c:pt idx="9">
                  <c:v>218.5</c:v>
                </c:pt>
              </c:numCache>
            </c:numRef>
          </c:xVal>
          <c:yVal>
            <c:numRef>
              <c:f>'54.1-4'!$AC$6:$AC$20</c:f>
              <c:numCache>
                <c:formatCode>0.0</c:formatCode>
                <c:ptCount val="10"/>
                <c:pt idx="0">
                  <c:v>45.491042345276881</c:v>
                </c:pt>
                <c:pt idx="1">
                  <c:v>35.210097719869708</c:v>
                </c:pt>
                <c:pt idx="2">
                  <c:v>40.767915309446259</c:v>
                </c:pt>
                <c:pt idx="3">
                  <c:v>41.012214983713349</c:v>
                </c:pt>
                <c:pt idx="4">
                  <c:v>37.849891422366994</c:v>
                </c:pt>
                <c:pt idx="5">
                  <c:v>31.606677524429966</c:v>
                </c:pt>
                <c:pt idx="6">
                  <c:v>28.023615635179155</c:v>
                </c:pt>
                <c:pt idx="7">
                  <c:v>24.908794788273617</c:v>
                </c:pt>
                <c:pt idx="8">
                  <c:v>23.300488599348533</c:v>
                </c:pt>
                <c:pt idx="9">
                  <c:v>18.495928338762216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541-4DF0-A7AE-8E01116F24E6}"/>
            </c:ext>
          </c:extLst>
        </c:ser>
        <c:ser>
          <c:idx val="4"/>
          <c:order val="3"/>
          <c:tx>
            <c:v>Acn*</c:v>
          </c:tx>
          <c:spPr>
            <a:ln w="28575">
              <a:solidFill>
                <a:srgbClr val="7030A0"/>
              </a:solidFill>
            </a:ln>
          </c:spPr>
          <c:marker>
            <c:symbol val="circle"/>
            <c:size val="7"/>
            <c:spPr>
              <a:solidFill>
                <a:srgbClr val="7030A0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'52.1'!$AB$20:$AB$24</c:f>
                <c:numCache>
                  <c:formatCode>General</c:formatCode>
                  <c:ptCount val="5"/>
                  <c:pt idx="0">
                    <c:v>0.16286644951140161</c:v>
                  </c:pt>
                  <c:pt idx="1">
                    <c:v>6.6819918320556395</c:v>
                  </c:pt>
                  <c:pt idx="3">
                    <c:v>3.6512003979327106</c:v>
                  </c:pt>
                  <c:pt idx="4">
                    <c:v>0</c:v>
                  </c:pt>
                </c:numCache>
              </c:numRef>
            </c:plus>
            <c:minus>
              <c:numRef>
                <c:f>'52.1'!$AB$20:$AB$24</c:f>
                <c:numCache>
                  <c:formatCode>General</c:formatCode>
                  <c:ptCount val="5"/>
                  <c:pt idx="0">
                    <c:v>0.16286644951140161</c:v>
                  </c:pt>
                  <c:pt idx="1">
                    <c:v>6.6819918320556395</c:v>
                  </c:pt>
                  <c:pt idx="3">
                    <c:v>3.6512003979327106</c:v>
                  </c:pt>
                  <c:pt idx="4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'52.1'!$A$20:$A$24</c:f>
              <c:numCache>
                <c:formatCode>General</c:formatCode>
                <c:ptCount val="5"/>
                <c:pt idx="0">
                  <c:v>0</c:v>
                </c:pt>
                <c:pt idx="1">
                  <c:v>21</c:v>
                </c:pt>
                <c:pt idx="3">
                  <c:v>49.5</c:v>
                </c:pt>
                <c:pt idx="4">
                  <c:v>90</c:v>
                </c:pt>
              </c:numCache>
            </c:numRef>
          </c:xVal>
          <c:yVal>
            <c:numRef>
              <c:f>'52.1'!$AA$20:$AA$24</c:f>
              <c:numCache>
                <c:formatCode>0.0</c:formatCode>
                <c:ptCount val="5"/>
                <c:pt idx="0">
                  <c:v>43.170195439739416</c:v>
                </c:pt>
                <c:pt idx="1">
                  <c:v>36.818403908794792</c:v>
                </c:pt>
                <c:pt idx="3">
                  <c:v>13.827090119435397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541-4DF0-A7AE-8E01116F24E6}"/>
            </c:ext>
          </c:extLst>
        </c:ser>
        <c:ser>
          <c:idx val="0"/>
          <c:order val="0"/>
          <c:tx>
            <c:v>Acn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pPr>
              <a:solidFill>
                <a:srgbClr val="FFC000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plus>
            <c:minus>
              <c:numRef>
                <c:f>'52.1'!$AB$5:$AB$19</c:f>
                <c:numCache>
                  <c:formatCode>General</c:formatCode>
                  <c:ptCount val="15"/>
                  <c:pt idx="0">
                    <c:v>0.40142532716176815</c:v>
                  </c:pt>
                  <c:pt idx="1">
                    <c:v>0.90631435439957886</c:v>
                  </c:pt>
                  <c:pt idx="2">
                    <c:v>0.34536259214812282</c:v>
                  </c:pt>
                  <c:pt idx="3">
                    <c:v>0.86398566361210527</c:v>
                  </c:pt>
                  <c:pt idx="4">
                    <c:v>0.93275707252614515</c:v>
                  </c:pt>
                  <c:pt idx="6">
                    <c:v>2.2433584838934717</c:v>
                  </c:pt>
                  <c:pt idx="9">
                    <c:v>4.5318156605786681</c:v>
                  </c:pt>
                  <c:pt idx="10">
                    <c:v>4.7336454818676268</c:v>
                  </c:pt>
                  <c:pt idx="13">
                    <c:v>4.4506469360701653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'52.1'!$A$5:$A$19</c:f>
              <c:numCache>
                <c:formatCode>General</c:formatCode>
                <c:ptCount val="15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6">
                  <c:v>138</c:v>
                </c:pt>
                <c:pt idx="9">
                  <c:v>190</c:v>
                </c:pt>
                <c:pt idx="10">
                  <c:v>212.75</c:v>
                </c:pt>
                <c:pt idx="13">
                  <c:v>236.75</c:v>
                </c:pt>
                <c:pt idx="14">
                  <c:v>263.75</c:v>
                </c:pt>
              </c:numCache>
            </c:numRef>
          </c:xVal>
          <c:yVal>
            <c:numRef>
              <c:f>'52.1'!$AA$5:$AA$19</c:f>
              <c:numCache>
                <c:formatCode>0.0</c:formatCode>
                <c:ptCount val="15"/>
                <c:pt idx="0">
                  <c:v>45.491042345276874</c:v>
                </c:pt>
                <c:pt idx="1">
                  <c:v>39.940010857763298</c:v>
                </c:pt>
                <c:pt idx="3">
                  <c:v>38.189196525515747</c:v>
                </c:pt>
                <c:pt idx="4">
                  <c:v>37.307003257328994</c:v>
                </c:pt>
                <c:pt idx="6">
                  <c:v>33.174267100977197</c:v>
                </c:pt>
                <c:pt idx="9">
                  <c:v>22.974755700325733</c:v>
                </c:pt>
                <c:pt idx="10">
                  <c:v>16.704397394136809</c:v>
                </c:pt>
                <c:pt idx="13">
                  <c:v>6.7571517412935327</c:v>
                </c:pt>
                <c:pt idx="14">
                  <c:v>0.10914179104477612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541-4DF0-A7AE-8E01116F2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351296"/>
        <c:axId val="89353216"/>
      </c:scatterChart>
      <c:valAx>
        <c:axId val="89351296"/>
        <c:scaling>
          <c:orientation val="minMax"/>
          <c:max val="2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9353216"/>
        <c:crosses val="autoZero"/>
        <c:crossBetween val="midCat"/>
      </c:valAx>
      <c:valAx>
        <c:axId val="89353216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cresol concentration, mg/L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93512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400"/>
              <a:t>Standard curve of phenol in</a:t>
            </a:r>
            <a:r>
              <a:rPr lang="en-GB" sz="1400" baseline="0"/>
              <a:t> minimal salt medium</a:t>
            </a:r>
            <a:r>
              <a:rPr lang="en-GB" sz="1400"/>
              <a:t>   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1"/>
            <c:trendlineLbl>
              <c:layout>
                <c:manualLayout>
                  <c:x val="-0.30353725586281916"/>
                  <c:y val="-5.0082696184716044E-2"/>
                </c:manualLayout>
              </c:layout>
              <c:numFmt formatCode="General" sourceLinked="0"/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[2]Sheet1!$F$4:$F$9</c:f>
                <c:numCache>
                  <c:formatCode>General</c:formatCode>
                  <c:ptCount val="6"/>
                  <c:pt idx="0">
                    <c:v>9.899494936611665E-3</c:v>
                  </c:pt>
                  <c:pt idx="1">
                    <c:v>1.4142135623730963E-3</c:v>
                  </c:pt>
                  <c:pt idx="2">
                    <c:v>7.7781745930520299E-3</c:v>
                  </c:pt>
                  <c:pt idx="3">
                    <c:v>1.8384776310850254E-2</c:v>
                  </c:pt>
                  <c:pt idx="4">
                    <c:v>1.0606601717798222E-2</c:v>
                  </c:pt>
                  <c:pt idx="5">
                    <c:v>2.333452377915601E-2</c:v>
                  </c:pt>
                </c:numCache>
              </c:numRef>
            </c:plus>
            <c:minus>
              <c:numRef>
                <c:f>[2]Sheet1!$F$4:$F$9</c:f>
                <c:numCache>
                  <c:formatCode>General</c:formatCode>
                  <c:ptCount val="6"/>
                  <c:pt idx="0">
                    <c:v>9.899494936611665E-3</c:v>
                  </c:pt>
                  <c:pt idx="1">
                    <c:v>1.4142135623730963E-3</c:v>
                  </c:pt>
                  <c:pt idx="2">
                    <c:v>7.7781745930520299E-3</c:v>
                  </c:pt>
                  <c:pt idx="3">
                    <c:v>1.8384776310850254E-2</c:v>
                  </c:pt>
                  <c:pt idx="4">
                    <c:v>1.0606601717798222E-2</c:v>
                  </c:pt>
                  <c:pt idx="5">
                    <c:v>2.333452377915601E-2</c:v>
                  </c:pt>
                </c:numCache>
              </c:numRef>
            </c:minus>
          </c:errBars>
          <c:xVal>
            <c:numRef>
              <c:f>[2]Sheet1!$B$4:$B$9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</c:numCache>
            </c:numRef>
          </c:xVal>
          <c:yVal>
            <c:numRef>
              <c:f>[2]Sheet1!$E$4:$E$9</c:f>
              <c:numCache>
                <c:formatCode>General</c:formatCode>
                <c:ptCount val="6"/>
                <c:pt idx="0">
                  <c:v>4.4999999999999998E-2</c:v>
                </c:pt>
                <c:pt idx="1">
                  <c:v>0.11</c:v>
                </c:pt>
                <c:pt idx="2">
                  <c:v>0.25850000000000001</c:v>
                </c:pt>
                <c:pt idx="3">
                  <c:v>0.38800000000000001</c:v>
                </c:pt>
                <c:pt idx="4">
                  <c:v>0.51649999999999996</c:v>
                </c:pt>
                <c:pt idx="5">
                  <c:v>0.69750000000000001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6C-4F7B-8BB7-1F19DC2B17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469312"/>
        <c:axId val="89471232"/>
      </c:scatterChart>
      <c:valAx>
        <c:axId val="8946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Conc. of phenol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9471232"/>
        <c:crosses val="autoZero"/>
        <c:crossBetween val="midCat"/>
      </c:valAx>
      <c:valAx>
        <c:axId val="894712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Absorbance of phenol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94693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forward val="10"/>
            <c:backward val="1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'Phenol calibration '!$F$4:$F$9</c:f>
              <c:numCache>
                <c:formatCode>General</c:formatCode>
                <c:ptCount val="6"/>
                <c:pt idx="0">
                  <c:v>0.44999999999999996</c:v>
                </c:pt>
                <c:pt idx="1">
                  <c:v>1.1000000000000001</c:v>
                </c:pt>
                <c:pt idx="2">
                  <c:v>2.585</c:v>
                </c:pt>
                <c:pt idx="3">
                  <c:v>3.88</c:v>
                </c:pt>
                <c:pt idx="4">
                  <c:v>5.1649999999999991</c:v>
                </c:pt>
                <c:pt idx="5">
                  <c:v>6.9749999999999996</c:v>
                </c:pt>
              </c:numCache>
            </c:numRef>
          </c:xVal>
          <c:yVal>
            <c:numRef>
              <c:f>'Phenol calibration '!$G$4:$G$9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D5-4696-BC2D-EB25FAE11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05152"/>
        <c:axId val="89506944"/>
      </c:scatterChart>
      <c:valAx>
        <c:axId val="8950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9506944"/>
        <c:crosses val="autoZero"/>
        <c:crossBetween val="midCat"/>
      </c:valAx>
      <c:valAx>
        <c:axId val="89506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5051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'Phenol calibration '!$A$4:$A$9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</c:numCache>
            </c:numRef>
          </c:xVal>
          <c:yVal>
            <c:numRef>
              <c:f>'Phenol calibration '!$F$4:$F$9</c:f>
              <c:numCache>
                <c:formatCode>General</c:formatCode>
                <c:ptCount val="6"/>
                <c:pt idx="0">
                  <c:v>0.44999999999999996</c:v>
                </c:pt>
                <c:pt idx="1">
                  <c:v>1.1000000000000001</c:v>
                </c:pt>
                <c:pt idx="2">
                  <c:v>2.585</c:v>
                </c:pt>
                <c:pt idx="3">
                  <c:v>3.88</c:v>
                </c:pt>
                <c:pt idx="4">
                  <c:v>5.1649999999999991</c:v>
                </c:pt>
                <c:pt idx="5">
                  <c:v>6.9749999999999996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9E-4187-88AE-8E0726B893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36000"/>
        <c:axId val="89537536"/>
      </c:scatterChart>
      <c:valAx>
        <c:axId val="8953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9537536"/>
        <c:crosses val="autoZero"/>
        <c:crossBetween val="midCat"/>
      </c:valAx>
      <c:valAx>
        <c:axId val="89537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5360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3"/>
          <c:order val="0"/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'48.1-3'!$AA$19:$AA$23</c:f>
                <c:numCache>
                  <c:formatCode>General</c:formatCode>
                  <c:ptCount val="5"/>
                  <c:pt idx="0">
                    <c:v>2.931472842985372</c:v>
                  </c:pt>
                  <c:pt idx="1">
                    <c:v>23.144170935336522</c:v>
                  </c:pt>
                  <c:pt idx="2">
                    <c:v>11.479521281283946</c:v>
                  </c:pt>
                  <c:pt idx="3">
                    <c:v>2.2768743010295105</c:v>
                  </c:pt>
                  <c:pt idx="4">
                    <c:v>0</c:v>
                  </c:pt>
                </c:numCache>
              </c:numRef>
            </c:plus>
            <c:minus>
              <c:numRef>
                <c:f>'48.1-3'!$AA$19:$AA$23</c:f>
                <c:numCache>
                  <c:formatCode>General</c:formatCode>
                  <c:ptCount val="5"/>
                  <c:pt idx="0">
                    <c:v>2.931472842985372</c:v>
                  </c:pt>
                  <c:pt idx="1">
                    <c:v>23.144170935336522</c:v>
                  </c:pt>
                  <c:pt idx="2">
                    <c:v>11.479521281283946</c:v>
                  </c:pt>
                  <c:pt idx="3">
                    <c:v>2.2768743010295105</c:v>
                  </c:pt>
                  <c:pt idx="4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'48.1-3'!$A$19:$A$23</c:f>
              <c:numCache>
                <c:formatCode>General</c:formatCode>
                <c:ptCount val="5"/>
                <c:pt idx="0">
                  <c:v>0</c:v>
                </c:pt>
                <c:pt idx="1">
                  <c:v>19.7</c:v>
                </c:pt>
                <c:pt idx="2">
                  <c:v>64.7</c:v>
                </c:pt>
                <c:pt idx="3">
                  <c:v>110.7</c:v>
                </c:pt>
                <c:pt idx="4">
                  <c:v>140</c:v>
                </c:pt>
              </c:numCache>
            </c:numRef>
          </c:xVal>
          <c:yVal>
            <c:numRef>
              <c:f>'48.1-3'!$Z$19:$Z$23</c:f>
              <c:numCache>
                <c:formatCode>0.0</c:formatCode>
                <c:ptCount val="5"/>
                <c:pt idx="0">
                  <c:v>196.12957746478878</c:v>
                </c:pt>
                <c:pt idx="1">
                  <c:v>159.96760563380283</c:v>
                </c:pt>
                <c:pt idx="2">
                  <c:v>97.538028169014083</c:v>
                </c:pt>
                <c:pt idx="3">
                  <c:v>6.4582159624413151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D1-429E-BE91-B342CB7AB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44512"/>
        <c:axId val="60546432"/>
      </c:scatterChart>
      <c:valAx>
        <c:axId val="6054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60546432"/>
        <c:crosses val="autoZero"/>
        <c:crossBetween val="midCat"/>
      </c:valAx>
      <c:valAx>
        <c:axId val="605464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phenol concentration mg/L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605445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4"/>
          <c:order val="4"/>
          <c:tx>
            <c:v>5th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'48.1-3'!$AA$24:$AA$28</c:f>
                <c:numCache>
                  <c:formatCode>General</c:formatCode>
                  <c:ptCount val="5"/>
                  <c:pt idx="0">
                    <c:v>2.7165213411248028</c:v>
                  </c:pt>
                  <c:pt idx="1">
                    <c:v>7.7161163395499521</c:v>
                  </c:pt>
                  <c:pt idx="2">
                    <c:v>33.829019578292773</c:v>
                  </c:pt>
                  <c:pt idx="3">
                    <c:v>26.022945231140593</c:v>
                  </c:pt>
                  <c:pt idx="4">
                    <c:v>8.5807599458573343</c:v>
                  </c:pt>
                </c:numCache>
              </c:numRef>
            </c:plus>
            <c:minus>
              <c:numRef>
                <c:f>'48.1-3'!$AA$24:$AA$28</c:f>
                <c:numCache>
                  <c:formatCode>General</c:formatCode>
                  <c:ptCount val="5"/>
                  <c:pt idx="0">
                    <c:v>2.7165213411248028</c:v>
                  </c:pt>
                  <c:pt idx="1">
                    <c:v>7.7161163395499521</c:v>
                  </c:pt>
                  <c:pt idx="2">
                    <c:v>33.829019578292773</c:v>
                  </c:pt>
                  <c:pt idx="3">
                    <c:v>26.022945231140593</c:v>
                  </c:pt>
                  <c:pt idx="4">
                    <c:v>8.5807599458573343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'48.1-3'!$A$24:$A$28</c:f>
              <c:numCache>
                <c:formatCode>General</c:formatCode>
                <c:ptCount val="5"/>
                <c:pt idx="0">
                  <c:v>0</c:v>
                </c:pt>
                <c:pt idx="1">
                  <c:v>23.5</c:v>
                </c:pt>
                <c:pt idx="2">
                  <c:v>90.5</c:v>
                </c:pt>
                <c:pt idx="3">
                  <c:v>114.5</c:v>
                </c:pt>
                <c:pt idx="4">
                  <c:v>168</c:v>
                </c:pt>
              </c:numCache>
            </c:numRef>
          </c:xVal>
          <c:yVal>
            <c:numRef>
              <c:f>'48.1-3'!$Z$24:$Z$28</c:f>
              <c:numCache>
                <c:formatCode>0.0</c:formatCode>
                <c:ptCount val="5"/>
                <c:pt idx="0">
                  <c:v>278.805633802817</c:v>
                </c:pt>
                <c:pt idx="1">
                  <c:v>264.2516431924883</c:v>
                </c:pt>
                <c:pt idx="2">
                  <c:v>99.744600938967139</c:v>
                </c:pt>
                <c:pt idx="3">
                  <c:v>76.082629107981219</c:v>
                </c:pt>
                <c:pt idx="4">
                  <c:v>6.5981220657276998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66-4EED-BAA0-F88CB72A67F9}"/>
            </c:ext>
          </c:extLst>
        </c:ser>
        <c:ser>
          <c:idx val="3"/>
          <c:order val="3"/>
          <c:tx>
            <c:v>4th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'48.1-3'!$AA$19:$AA$23</c:f>
                <c:numCache>
                  <c:formatCode>General</c:formatCode>
                  <c:ptCount val="5"/>
                  <c:pt idx="0">
                    <c:v>2.931472842985372</c:v>
                  </c:pt>
                  <c:pt idx="1">
                    <c:v>23.144170935336522</c:v>
                  </c:pt>
                  <c:pt idx="2">
                    <c:v>11.479521281283946</c:v>
                  </c:pt>
                  <c:pt idx="3">
                    <c:v>2.2768743010295105</c:v>
                  </c:pt>
                  <c:pt idx="4">
                    <c:v>0</c:v>
                  </c:pt>
                </c:numCache>
              </c:numRef>
            </c:plus>
            <c:minus>
              <c:numRef>
                <c:f>'48.1-3'!$AA$19:$AA$23</c:f>
                <c:numCache>
                  <c:formatCode>General</c:formatCode>
                  <c:ptCount val="5"/>
                  <c:pt idx="0">
                    <c:v>2.931472842985372</c:v>
                  </c:pt>
                  <c:pt idx="1">
                    <c:v>23.144170935336522</c:v>
                  </c:pt>
                  <c:pt idx="2">
                    <c:v>11.479521281283946</c:v>
                  </c:pt>
                  <c:pt idx="3">
                    <c:v>2.2768743010295105</c:v>
                  </c:pt>
                  <c:pt idx="4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'48.1-3'!$A$19:$A$23</c:f>
              <c:numCache>
                <c:formatCode>General</c:formatCode>
                <c:ptCount val="5"/>
                <c:pt idx="0">
                  <c:v>0</c:v>
                </c:pt>
                <c:pt idx="1">
                  <c:v>19.7</c:v>
                </c:pt>
                <c:pt idx="2">
                  <c:v>64.7</c:v>
                </c:pt>
                <c:pt idx="3">
                  <c:v>110.7</c:v>
                </c:pt>
                <c:pt idx="4">
                  <c:v>140</c:v>
                </c:pt>
              </c:numCache>
            </c:numRef>
          </c:xVal>
          <c:yVal>
            <c:numRef>
              <c:f>'48.1-3'!$Z$19:$Z$23</c:f>
              <c:numCache>
                <c:formatCode>0.0</c:formatCode>
                <c:ptCount val="5"/>
                <c:pt idx="0">
                  <c:v>196.12957746478878</c:v>
                </c:pt>
                <c:pt idx="1">
                  <c:v>159.96760563380283</c:v>
                </c:pt>
                <c:pt idx="2">
                  <c:v>97.538028169014083</c:v>
                </c:pt>
                <c:pt idx="3">
                  <c:v>6.4582159624413151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66-4EED-BAA0-F88CB72A67F9}"/>
            </c:ext>
          </c:extLst>
        </c:ser>
        <c:ser>
          <c:idx val="2"/>
          <c:order val="2"/>
          <c:tx>
            <c:v>3rd cycle</c:v>
          </c:tx>
          <c:spPr>
            <a:ln w="28575">
              <a:noFill/>
            </a:ln>
          </c:spPr>
          <c:xVal>
            <c:numRef>
              <c:f>'48.1-3'!$A$15:$A$18</c:f>
              <c:numCache>
                <c:formatCode>General</c:formatCode>
                <c:ptCount val="4"/>
                <c:pt idx="0">
                  <c:v>0</c:v>
                </c:pt>
                <c:pt idx="1">
                  <c:v>17.5</c:v>
                </c:pt>
                <c:pt idx="2">
                  <c:v>44.5</c:v>
                </c:pt>
                <c:pt idx="3">
                  <c:v>66</c:v>
                </c:pt>
              </c:numCache>
            </c:numRef>
          </c:xVal>
          <c:yVal>
            <c:numRef>
              <c:f>'48.1-3'!$Z$15:$Z$18</c:f>
              <c:numCache>
                <c:formatCode>0.0</c:formatCode>
                <c:ptCount val="4"/>
                <c:pt idx="0">
                  <c:v>113.73521126760566</c:v>
                </c:pt>
                <c:pt idx="1">
                  <c:v>79.216431924882627</c:v>
                </c:pt>
                <c:pt idx="2">
                  <c:v>8.330281690140847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D66-4EED-BAA0-F88CB72A67F9}"/>
            </c:ext>
          </c:extLst>
        </c:ser>
        <c:ser>
          <c:idx val="1"/>
          <c:order val="1"/>
          <c:tx>
            <c:v>2nd cycle</c:v>
          </c:tx>
          <c:spPr>
            <a:ln w="28575">
              <a:noFill/>
            </a:ln>
          </c:spPr>
          <c:xVal>
            <c:numRef>
              <c:f>'48.1-3'!$A$11:$A$14</c:f>
              <c:numCache>
                <c:formatCode>General</c:formatCode>
                <c:ptCount val="4"/>
                <c:pt idx="0">
                  <c:v>0</c:v>
                </c:pt>
                <c:pt idx="1">
                  <c:v>44</c:v>
                </c:pt>
                <c:pt idx="2">
                  <c:v>66.75</c:v>
                </c:pt>
                <c:pt idx="3">
                  <c:v>73.5</c:v>
                </c:pt>
              </c:numCache>
            </c:numRef>
          </c:xVal>
          <c:yVal>
            <c:numRef>
              <c:f>'48.1-3'!$Z$11:$Z$14</c:f>
              <c:numCache>
                <c:formatCode>0.0</c:formatCode>
                <c:ptCount val="4"/>
                <c:pt idx="0">
                  <c:v>113.73521126760566</c:v>
                </c:pt>
                <c:pt idx="1">
                  <c:v>18.805633802816903</c:v>
                </c:pt>
                <c:pt idx="2">
                  <c:v>3.1190140845070422</c:v>
                </c:pt>
                <c:pt idx="3">
                  <c:v>1.5313380281690143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D66-4EED-BAA0-F88CB72A67F9}"/>
            </c:ext>
          </c:extLst>
        </c:ser>
        <c:ser>
          <c:idx val="0"/>
          <c:order val="0"/>
          <c:tx>
            <c:v>1st cycle</c:v>
          </c:tx>
          <c:spPr>
            <a:ln w="28575">
              <a:noFill/>
            </a:ln>
          </c:spPr>
          <c:xVal>
            <c:numRef>
              <c:f>'48.1-3'!$A$5:$A$10</c:f>
              <c:numCache>
                <c:formatCode>General</c:formatCode>
                <c:ptCount val="6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5">
                  <c:v>114</c:v>
                </c:pt>
              </c:numCache>
            </c:numRef>
          </c:xVal>
          <c:yVal>
            <c:numRef>
              <c:f>'48.1-3'!$Z$5:$Z$10</c:f>
              <c:numCache>
                <c:formatCode>0.0</c:formatCode>
                <c:ptCount val="6"/>
                <c:pt idx="0">
                  <c:v>60.038028169014098</c:v>
                </c:pt>
                <c:pt idx="1">
                  <c:v>45.343192488262922</c:v>
                </c:pt>
                <c:pt idx="2">
                  <c:v>32.056807511737091</c:v>
                </c:pt>
                <c:pt idx="3">
                  <c:v>13.793896713615025</c:v>
                </c:pt>
                <c:pt idx="4">
                  <c:v>2.1659154929577467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D66-4EED-BAA0-F88CB72A67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80672"/>
        <c:axId val="61982592"/>
      </c:scatterChart>
      <c:valAx>
        <c:axId val="61980672"/>
        <c:scaling>
          <c:orientation val="minMax"/>
          <c:max val="17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61982592"/>
        <c:crosses val="autoZero"/>
        <c:crossBetween val="midCat"/>
        <c:majorUnit val="25"/>
      </c:valAx>
      <c:valAx>
        <c:axId val="61982592"/>
        <c:scaling>
          <c:orientation val="minMax"/>
          <c:max val="3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phenol concentration mg/L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619806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4"/>
          <c:order val="0"/>
          <c:tx>
            <c:v>5th cycle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'48.1-3'!$AA$24:$AA$28</c:f>
                <c:numCache>
                  <c:formatCode>General</c:formatCode>
                  <c:ptCount val="5"/>
                  <c:pt idx="0">
                    <c:v>2.7165213411248028</c:v>
                  </c:pt>
                  <c:pt idx="1">
                    <c:v>7.7161163395499521</c:v>
                  </c:pt>
                  <c:pt idx="2">
                    <c:v>33.829019578292773</c:v>
                  </c:pt>
                  <c:pt idx="3">
                    <c:v>26.022945231140593</c:v>
                  </c:pt>
                  <c:pt idx="4">
                    <c:v>8.5807599458573343</c:v>
                  </c:pt>
                </c:numCache>
              </c:numRef>
            </c:plus>
            <c:minus>
              <c:numRef>
                <c:f>'48.1-3'!$AA$24:$AA$28</c:f>
                <c:numCache>
                  <c:formatCode>General</c:formatCode>
                  <c:ptCount val="5"/>
                  <c:pt idx="0">
                    <c:v>2.7165213411248028</c:v>
                  </c:pt>
                  <c:pt idx="1">
                    <c:v>7.7161163395499521</c:v>
                  </c:pt>
                  <c:pt idx="2">
                    <c:v>33.829019578292773</c:v>
                  </c:pt>
                  <c:pt idx="3">
                    <c:v>26.022945231140593</c:v>
                  </c:pt>
                  <c:pt idx="4">
                    <c:v>8.5807599458573343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'48.1-3'!$A$24:$A$28</c:f>
              <c:numCache>
                <c:formatCode>General</c:formatCode>
                <c:ptCount val="5"/>
                <c:pt idx="0">
                  <c:v>0</c:v>
                </c:pt>
                <c:pt idx="1">
                  <c:v>23.5</c:v>
                </c:pt>
                <c:pt idx="2">
                  <c:v>90.5</c:v>
                </c:pt>
                <c:pt idx="3">
                  <c:v>114.5</c:v>
                </c:pt>
                <c:pt idx="4">
                  <c:v>168</c:v>
                </c:pt>
              </c:numCache>
            </c:numRef>
          </c:xVal>
          <c:yVal>
            <c:numRef>
              <c:f>'48.1-3'!$Z$24:$Z$28</c:f>
              <c:numCache>
                <c:formatCode>0.0</c:formatCode>
                <c:ptCount val="5"/>
                <c:pt idx="0">
                  <c:v>278.805633802817</c:v>
                </c:pt>
                <c:pt idx="1">
                  <c:v>264.2516431924883</c:v>
                </c:pt>
                <c:pt idx="2">
                  <c:v>99.744600938967139</c:v>
                </c:pt>
                <c:pt idx="3">
                  <c:v>76.082629107981219</c:v>
                </c:pt>
                <c:pt idx="4">
                  <c:v>6.5981220657276998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C0-464E-B2DD-C607F6700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95648"/>
        <c:axId val="63046400"/>
      </c:scatterChart>
      <c:valAx>
        <c:axId val="61995648"/>
        <c:scaling>
          <c:orientation val="minMax"/>
          <c:max val="17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63046400"/>
        <c:crosses val="autoZero"/>
        <c:crossBetween val="midCat"/>
        <c:majorUnit val="25"/>
      </c:valAx>
      <c:valAx>
        <c:axId val="63046400"/>
        <c:scaling>
          <c:orientation val="minMax"/>
          <c:max val="3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phenol concentration mg/L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619956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tx>
            <c:v>Acinoto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'49.1-3'!$AB$5:$AB$11</c:f>
                <c:numCache>
                  <c:formatCode>General</c:formatCode>
                  <c:ptCount val="7"/>
                  <c:pt idx="0">
                    <c:v>1.272876366033133</c:v>
                  </c:pt>
                  <c:pt idx="1">
                    <c:v>4.5046208284134446</c:v>
                  </c:pt>
                  <c:pt idx="2">
                    <c:v>3.6558498845861518</c:v>
                  </c:pt>
                  <c:pt idx="3">
                    <c:v>4.6830544669459186</c:v>
                  </c:pt>
                  <c:pt idx="4">
                    <c:v>2.5146532148287135</c:v>
                  </c:pt>
                  <c:pt idx="5">
                    <c:v>3.1745067162666394</c:v>
                  </c:pt>
                  <c:pt idx="6">
                    <c:v>1.6417141304101122</c:v>
                  </c:pt>
                </c:numCache>
              </c:numRef>
            </c:plus>
            <c:minus>
              <c:numRef>
                <c:f>'49.1-3'!$AB$5:$AB$11</c:f>
                <c:numCache>
                  <c:formatCode>General</c:formatCode>
                  <c:ptCount val="7"/>
                  <c:pt idx="0">
                    <c:v>1.272876366033133</c:v>
                  </c:pt>
                  <c:pt idx="1">
                    <c:v>4.5046208284134446</c:v>
                  </c:pt>
                  <c:pt idx="2">
                    <c:v>3.6558498845861518</c:v>
                  </c:pt>
                  <c:pt idx="3">
                    <c:v>4.6830544669459186</c:v>
                  </c:pt>
                  <c:pt idx="4">
                    <c:v>2.5146532148287135</c:v>
                  </c:pt>
                  <c:pt idx="5">
                    <c:v>3.1745067162666394</c:v>
                  </c:pt>
                  <c:pt idx="6">
                    <c:v>1.6417141304101122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'49.1-3'!$A$5:$A$11</c:f>
              <c:numCache>
                <c:formatCode>General</c:formatCode>
                <c:ptCount val="7"/>
                <c:pt idx="0">
                  <c:v>0</c:v>
                </c:pt>
                <c:pt idx="1">
                  <c:v>20.5</c:v>
                </c:pt>
                <c:pt idx="2">
                  <c:v>47.5</c:v>
                </c:pt>
                <c:pt idx="3">
                  <c:v>69.5</c:v>
                </c:pt>
                <c:pt idx="4">
                  <c:v>93</c:v>
                </c:pt>
                <c:pt idx="5">
                  <c:v>93.5</c:v>
                </c:pt>
                <c:pt idx="6">
                  <c:v>114</c:v>
                </c:pt>
              </c:numCache>
            </c:numRef>
          </c:xVal>
          <c:yVal>
            <c:numRef>
              <c:f>'49.1-3'!$AA$5:$AA$11</c:f>
              <c:numCache>
                <c:formatCode>0.0</c:formatCode>
                <c:ptCount val="7"/>
                <c:pt idx="0">
                  <c:v>60.038028169014098</c:v>
                </c:pt>
                <c:pt idx="1">
                  <c:v>50.988732394366203</c:v>
                </c:pt>
                <c:pt idx="2">
                  <c:v>43.676525821596243</c:v>
                </c:pt>
                <c:pt idx="3">
                  <c:v>36.07089201877934</c:v>
                </c:pt>
                <c:pt idx="4">
                  <c:v>7.7023474178403761</c:v>
                </c:pt>
                <c:pt idx="5">
                  <c:v>10.715258215962443</c:v>
                </c:pt>
                <c:pt idx="6">
                  <c:v>1.0596244131455401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A4-4B39-A5F0-2DDA116EA31C}"/>
            </c:ext>
          </c:extLst>
        </c:ser>
        <c:ser>
          <c:idx val="0"/>
          <c:order val="0"/>
          <c:tx>
            <c:v>Pseudo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'50.1'!$AB$6:$AB$12</c:f>
                <c:numCache>
                  <c:formatCode>General</c:formatCode>
                  <c:ptCount val="6"/>
                  <c:pt idx="0">
                    <c:v>1.272876366033133</c:v>
                  </c:pt>
                  <c:pt idx="1">
                    <c:v>1.7396884499614618</c:v>
                  </c:pt>
                  <c:pt idx="2">
                    <c:v>1.4115576061059001</c:v>
                  </c:pt>
                  <c:pt idx="3">
                    <c:v>2.6662781572440264</c:v>
                  </c:pt>
                  <c:pt idx="4">
                    <c:v>0.80755950289997491</c:v>
                  </c:pt>
                  <c:pt idx="5">
                    <c:v>0.15298070016862425</c:v>
                  </c:pt>
                </c:numCache>
              </c:numRef>
            </c:plus>
            <c:minus>
              <c:numRef>
                <c:f>'50.1'!$AB$6:$AB$12</c:f>
                <c:numCache>
                  <c:formatCode>General</c:formatCode>
                  <c:ptCount val="6"/>
                  <c:pt idx="0">
                    <c:v>1.272876366033133</c:v>
                  </c:pt>
                  <c:pt idx="1">
                    <c:v>1.7396884499614618</c:v>
                  </c:pt>
                  <c:pt idx="2">
                    <c:v>1.4115576061059001</c:v>
                  </c:pt>
                  <c:pt idx="3">
                    <c:v>2.6662781572440264</c:v>
                  </c:pt>
                  <c:pt idx="4">
                    <c:v>0.80755950289997491</c:v>
                  </c:pt>
                  <c:pt idx="5">
                    <c:v>0.15298070016862425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'50.1'!$B$6:$B$12</c:f>
              <c:numCache>
                <c:formatCode>General</c:formatCode>
                <c:ptCount val="6"/>
                <c:pt idx="0">
                  <c:v>0</c:v>
                </c:pt>
                <c:pt idx="1">
                  <c:v>27</c:v>
                </c:pt>
                <c:pt idx="2">
                  <c:v>49</c:v>
                </c:pt>
                <c:pt idx="3">
                  <c:v>72.5</c:v>
                </c:pt>
                <c:pt idx="4">
                  <c:v>117.5</c:v>
                </c:pt>
                <c:pt idx="5">
                  <c:v>125.5</c:v>
                </c:pt>
              </c:numCache>
            </c:numRef>
          </c:xVal>
          <c:yVal>
            <c:numRef>
              <c:f>'50.1'!$AA$6:$AA$12</c:f>
              <c:numCache>
                <c:formatCode>0.0</c:formatCode>
                <c:ptCount val="6"/>
                <c:pt idx="0">
                  <c:v>60.038028169014098</c:v>
                </c:pt>
                <c:pt idx="1">
                  <c:v>54.627230046948348</c:v>
                </c:pt>
                <c:pt idx="2">
                  <c:v>55.554460093896715</c:v>
                </c:pt>
                <c:pt idx="3">
                  <c:v>29.25164319248827</c:v>
                </c:pt>
                <c:pt idx="4">
                  <c:v>4.9676056338028181</c:v>
                </c:pt>
                <c:pt idx="5">
                  <c:v>2.5415492957746482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A4-4B39-A5F0-2DDA116EA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092224"/>
        <c:axId val="63094144"/>
      </c:scatterChart>
      <c:valAx>
        <c:axId val="6309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 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63094144"/>
        <c:crosses val="autoZero"/>
        <c:crossBetween val="midCat"/>
      </c:valAx>
      <c:valAx>
        <c:axId val="630941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phenol concentration, mg/L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44242089530475359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crossAx val="630922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'49.1-3'!$AB$12:$AB$15</c:f>
                <c:numCache>
                  <c:formatCode>General</c:formatCode>
                  <c:ptCount val="4"/>
                  <c:pt idx="0">
                    <c:v>1.272876366033133</c:v>
                  </c:pt>
                  <c:pt idx="1">
                    <c:v>3.5358261253834171</c:v>
                  </c:pt>
                  <c:pt idx="2">
                    <c:v>0.29343896690141807</c:v>
                  </c:pt>
                  <c:pt idx="3">
                    <c:v>0.16640195867086655</c:v>
                  </c:pt>
                </c:numCache>
              </c:numRef>
            </c:plus>
            <c:minus>
              <c:numRef>
                <c:f>'49.1-3'!$AB$12:$AB$15</c:f>
                <c:numCache>
                  <c:formatCode>General</c:formatCode>
                  <c:ptCount val="4"/>
                  <c:pt idx="0">
                    <c:v>1.272876366033133</c:v>
                  </c:pt>
                  <c:pt idx="1">
                    <c:v>3.5358261253834171</c:v>
                  </c:pt>
                  <c:pt idx="2">
                    <c:v>0.29343896690141807</c:v>
                  </c:pt>
                  <c:pt idx="3">
                    <c:v>0.16640195867086655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'49.1-3'!$A$12:$A$15</c:f>
              <c:numCache>
                <c:formatCode>General</c:formatCode>
                <c:ptCount val="4"/>
                <c:pt idx="0">
                  <c:v>0</c:v>
                </c:pt>
                <c:pt idx="1">
                  <c:v>44</c:v>
                </c:pt>
                <c:pt idx="2">
                  <c:v>66.75</c:v>
                </c:pt>
                <c:pt idx="3">
                  <c:v>73.5</c:v>
                </c:pt>
              </c:numCache>
            </c:numRef>
          </c:xVal>
          <c:yVal>
            <c:numRef>
              <c:f>'49.1-3'!$AA$12:$AA$15</c:f>
              <c:numCache>
                <c:formatCode>0.0</c:formatCode>
                <c:ptCount val="4"/>
                <c:pt idx="0">
                  <c:v>60.038028169014098</c:v>
                </c:pt>
                <c:pt idx="1">
                  <c:v>26.710563380281691</c:v>
                </c:pt>
                <c:pt idx="2">
                  <c:v>3.8742957746478877</c:v>
                </c:pt>
                <c:pt idx="3">
                  <c:v>2.6319248826291086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D0-45AF-901A-AF5353C16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08288"/>
        <c:axId val="42510208"/>
      </c:scatterChart>
      <c:valAx>
        <c:axId val="4250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</a:t>
                </a:r>
                <a:r>
                  <a:rPr lang="en-GB" baseline="0"/>
                  <a:t> h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2510208"/>
        <c:crosses val="autoZero"/>
        <c:crossBetween val="midCat"/>
      </c:valAx>
      <c:valAx>
        <c:axId val="425102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phenol concentration, mg/L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425082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'49.1-3'!$AB$16:$AB$20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3.8541784506504668</c:v>
                  </c:pt>
                  <c:pt idx="2">
                    <c:v>10.982378749347284</c:v>
                  </c:pt>
                  <c:pt idx="3">
                    <c:v>5.7021688172477667</c:v>
                  </c:pt>
                  <c:pt idx="4">
                    <c:v>4.4368670472829699</c:v>
                  </c:pt>
                </c:numCache>
              </c:numRef>
            </c:plus>
            <c:minus>
              <c:numRef>
                <c:f>'49.1-3'!$AB$16:$AB$20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3.8541784506504668</c:v>
                  </c:pt>
                  <c:pt idx="2">
                    <c:v>10.982378749347284</c:v>
                  </c:pt>
                  <c:pt idx="3">
                    <c:v>5.7021688172477667</c:v>
                  </c:pt>
                  <c:pt idx="4">
                    <c:v>4.4368670472829699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'49.1-3'!$A$16:$A$20</c:f>
              <c:numCache>
                <c:formatCode>General</c:formatCode>
                <c:ptCount val="5"/>
                <c:pt idx="0">
                  <c:v>0</c:v>
                </c:pt>
                <c:pt idx="1">
                  <c:v>17.5</c:v>
                </c:pt>
                <c:pt idx="2">
                  <c:v>44.5</c:v>
                </c:pt>
                <c:pt idx="3">
                  <c:v>66</c:v>
                </c:pt>
                <c:pt idx="4">
                  <c:v>70.5</c:v>
                </c:pt>
              </c:numCache>
            </c:numRef>
          </c:xVal>
          <c:yVal>
            <c:numRef>
              <c:f>'49.1-3'!$AA$16:$AA$20</c:f>
              <c:numCache>
                <c:formatCode>0.0</c:formatCode>
                <c:ptCount val="5"/>
                <c:pt idx="0">
                  <c:v>113.73521126760566</c:v>
                </c:pt>
                <c:pt idx="1">
                  <c:v>81.312676056338034</c:v>
                </c:pt>
                <c:pt idx="2">
                  <c:v>30.965258215962447</c:v>
                </c:pt>
                <c:pt idx="3">
                  <c:v>6.8619718309859152</c:v>
                </c:pt>
                <c:pt idx="4">
                  <c:v>3.7671361502347422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16-4679-98CB-AF3B2343C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35552"/>
        <c:axId val="42541824"/>
      </c:scatterChart>
      <c:valAx>
        <c:axId val="4253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time,</a:t>
                </a:r>
                <a:r>
                  <a:rPr lang="en-GB" baseline="0"/>
                  <a:t> h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2541824"/>
        <c:crosses val="autoZero"/>
        <c:crossBetween val="midCat"/>
      </c:valAx>
      <c:valAx>
        <c:axId val="425418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phenol concentration, mg/L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425355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7" Type="http://schemas.openxmlformats.org/officeDocument/2006/relationships/chart" Target="../charts/chart27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4" Type="http://schemas.openxmlformats.org/officeDocument/2006/relationships/chart" Target="../charts/chart3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4" Type="http://schemas.openxmlformats.org/officeDocument/2006/relationships/chart" Target="../charts/chart36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412750</xdr:colOff>
      <xdr:row>6</xdr:row>
      <xdr:rowOff>177345</xdr:rowOff>
    </xdr:from>
    <xdr:to>
      <xdr:col>21</xdr:col>
      <xdr:colOff>11340</xdr:colOff>
      <xdr:row>29</xdr:row>
      <xdr:rowOff>158750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467592</xdr:colOff>
      <xdr:row>12</xdr:row>
      <xdr:rowOff>155863</xdr:rowOff>
    </xdr:from>
    <xdr:to>
      <xdr:col>40</xdr:col>
      <xdr:colOff>147205</xdr:colOff>
      <xdr:row>27</xdr:row>
      <xdr:rowOff>41563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258535</xdr:colOff>
      <xdr:row>28</xdr:row>
      <xdr:rowOff>163286</xdr:rowOff>
    </xdr:from>
    <xdr:to>
      <xdr:col>13</xdr:col>
      <xdr:colOff>544285</xdr:colOff>
      <xdr:row>43</xdr:row>
      <xdr:rowOff>48986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29</xdr:row>
      <xdr:rowOff>0</xdr:rowOff>
    </xdr:from>
    <xdr:to>
      <xdr:col>22</xdr:col>
      <xdr:colOff>285750</xdr:colOff>
      <xdr:row>43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548820</xdr:colOff>
      <xdr:row>29</xdr:row>
      <xdr:rowOff>47625</xdr:rowOff>
    </xdr:from>
    <xdr:to>
      <xdr:col>32</xdr:col>
      <xdr:colOff>222249</xdr:colOff>
      <xdr:row>51</xdr:row>
      <xdr:rowOff>47625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0</xdr:colOff>
      <xdr:row>44</xdr:row>
      <xdr:rowOff>0</xdr:rowOff>
    </xdr:from>
    <xdr:to>
      <xdr:col>19</xdr:col>
      <xdr:colOff>276679</xdr:colOff>
      <xdr:row>66</xdr:row>
      <xdr:rowOff>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294408</xdr:colOff>
      <xdr:row>27</xdr:row>
      <xdr:rowOff>148442</xdr:rowOff>
    </xdr:from>
    <xdr:to>
      <xdr:col>25</xdr:col>
      <xdr:colOff>325334</xdr:colOff>
      <xdr:row>43</xdr:row>
      <xdr:rowOff>121226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244929</xdr:colOff>
      <xdr:row>14</xdr:row>
      <xdr:rowOff>68035</xdr:rowOff>
    </xdr:from>
    <xdr:to>
      <xdr:col>40</xdr:col>
      <xdr:colOff>530679</xdr:colOff>
      <xdr:row>28</xdr:row>
      <xdr:rowOff>144235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204106</xdr:colOff>
      <xdr:row>30</xdr:row>
      <xdr:rowOff>54428</xdr:rowOff>
    </xdr:from>
    <xdr:to>
      <xdr:col>14</xdr:col>
      <xdr:colOff>489856</xdr:colOff>
      <xdr:row>44</xdr:row>
      <xdr:rowOff>130628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30</xdr:row>
      <xdr:rowOff>0</xdr:rowOff>
    </xdr:from>
    <xdr:to>
      <xdr:col>23</xdr:col>
      <xdr:colOff>285750</xdr:colOff>
      <xdr:row>44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0</xdr:colOff>
      <xdr:row>30</xdr:row>
      <xdr:rowOff>0</xdr:rowOff>
    </xdr:from>
    <xdr:to>
      <xdr:col>31</xdr:col>
      <xdr:colOff>285750</xdr:colOff>
      <xdr:row>44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285750</xdr:colOff>
      <xdr:row>28</xdr:row>
      <xdr:rowOff>149678</xdr:rowOff>
    </xdr:from>
    <xdr:to>
      <xdr:col>38</xdr:col>
      <xdr:colOff>571500</xdr:colOff>
      <xdr:row>44</xdr:row>
      <xdr:rowOff>40822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462643</xdr:colOff>
      <xdr:row>44</xdr:row>
      <xdr:rowOff>163285</xdr:rowOff>
    </xdr:from>
    <xdr:to>
      <xdr:col>31</xdr:col>
      <xdr:colOff>72572</xdr:colOff>
      <xdr:row>62</xdr:row>
      <xdr:rowOff>163285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24947</xdr:colOff>
      <xdr:row>0</xdr:row>
      <xdr:rowOff>0</xdr:rowOff>
    </xdr:from>
    <xdr:to>
      <xdr:col>41</xdr:col>
      <xdr:colOff>310697</xdr:colOff>
      <xdr:row>14</xdr:row>
      <xdr:rowOff>144236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539750</xdr:colOff>
      <xdr:row>15</xdr:row>
      <xdr:rowOff>31750</xdr:rowOff>
    </xdr:from>
    <xdr:to>
      <xdr:col>41</xdr:col>
      <xdr:colOff>222250</xdr:colOff>
      <xdr:row>29</xdr:row>
      <xdr:rowOff>107950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31</xdr:row>
      <xdr:rowOff>136072</xdr:rowOff>
    </xdr:from>
    <xdr:to>
      <xdr:col>14</xdr:col>
      <xdr:colOff>285750</xdr:colOff>
      <xdr:row>46</xdr:row>
      <xdr:rowOff>21772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353786</xdr:colOff>
      <xdr:row>31</xdr:row>
      <xdr:rowOff>40822</xdr:rowOff>
    </xdr:from>
    <xdr:to>
      <xdr:col>22</xdr:col>
      <xdr:colOff>27215</xdr:colOff>
      <xdr:row>45</xdr:row>
      <xdr:rowOff>117022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0</xdr:colOff>
      <xdr:row>31</xdr:row>
      <xdr:rowOff>0</xdr:rowOff>
    </xdr:from>
    <xdr:to>
      <xdr:col>29</xdr:col>
      <xdr:colOff>285750</xdr:colOff>
      <xdr:row>45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15875</xdr:colOff>
      <xdr:row>30</xdr:row>
      <xdr:rowOff>79375</xdr:rowOff>
    </xdr:from>
    <xdr:to>
      <xdr:col>36</xdr:col>
      <xdr:colOff>301625</xdr:colOff>
      <xdr:row>48</xdr:row>
      <xdr:rowOff>79375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396875</xdr:colOff>
      <xdr:row>45</xdr:row>
      <xdr:rowOff>174625</xdr:rowOff>
    </xdr:from>
    <xdr:to>
      <xdr:col>29</xdr:col>
      <xdr:colOff>79375</xdr:colOff>
      <xdr:row>63</xdr:row>
      <xdr:rowOff>174625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438150</xdr:colOff>
      <xdr:row>20</xdr:row>
      <xdr:rowOff>90487</xdr:rowOff>
    </xdr:from>
    <xdr:to>
      <xdr:col>20</xdr:col>
      <xdr:colOff>133350</xdr:colOff>
      <xdr:row>34</xdr:row>
      <xdr:rowOff>166687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447675</xdr:colOff>
      <xdr:row>36</xdr:row>
      <xdr:rowOff>38100</xdr:rowOff>
    </xdr:from>
    <xdr:to>
      <xdr:col>26</xdr:col>
      <xdr:colOff>600075</xdr:colOff>
      <xdr:row>50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0</xdr:colOff>
      <xdr:row>20</xdr:row>
      <xdr:rowOff>0</xdr:rowOff>
    </xdr:from>
    <xdr:to>
      <xdr:col>30</xdr:col>
      <xdr:colOff>304800</xdr:colOff>
      <xdr:row>34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76200</xdr:colOff>
      <xdr:row>34</xdr:row>
      <xdr:rowOff>57150</xdr:rowOff>
    </xdr:from>
    <xdr:to>
      <xdr:col>18</xdr:col>
      <xdr:colOff>228600</xdr:colOff>
      <xdr:row>48</xdr:row>
      <xdr:rowOff>133350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0</xdr:colOff>
      <xdr:row>51</xdr:row>
      <xdr:rowOff>0</xdr:rowOff>
    </xdr:from>
    <xdr:to>
      <xdr:col>22</xdr:col>
      <xdr:colOff>152400</xdr:colOff>
      <xdr:row>65</xdr:row>
      <xdr:rowOff>76200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258536</xdr:colOff>
      <xdr:row>50</xdr:row>
      <xdr:rowOff>122464</xdr:rowOff>
    </xdr:from>
    <xdr:to>
      <xdr:col>30</xdr:col>
      <xdr:colOff>190500</xdr:colOff>
      <xdr:row>72</xdr:row>
      <xdr:rowOff>68036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54429</xdr:colOff>
      <xdr:row>54</xdr:row>
      <xdr:rowOff>27214</xdr:rowOff>
    </xdr:from>
    <xdr:to>
      <xdr:col>15</xdr:col>
      <xdr:colOff>353786</xdr:colOff>
      <xdr:row>68</xdr:row>
      <xdr:rowOff>103414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0.18561</cdr:x>
      <cdr:y>0.25694</cdr:y>
    </cdr:from>
    <cdr:to>
      <cdr:x>0.26705</cdr:x>
      <cdr:y>0.66667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933450" y="704850"/>
          <a:ext cx="409575" cy="11239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281668</xdr:colOff>
      <xdr:row>28</xdr:row>
      <xdr:rowOff>79601</xdr:rowOff>
    </xdr:from>
    <xdr:to>
      <xdr:col>14</xdr:col>
      <xdr:colOff>589189</xdr:colOff>
      <xdr:row>42</xdr:row>
      <xdr:rowOff>155801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472168</xdr:colOff>
      <xdr:row>28</xdr:row>
      <xdr:rowOff>104775</xdr:rowOff>
    </xdr:from>
    <xdr:to>
      <xdr:col>22</xdr:col>
      <xdr:colOff>167368</xdr:colOff>
      <xdr:row>42</xdr:row>
      <xdr:rowOff>180975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228600</xdr:colOff>
      <xdr:row>26</xdr:row>
      <xdr:rowOff>100012</xdr:rowOff>
    </xdr:from>
    <xdr:to>
      <xdr:col>29</xdr:col>
      <xdr:colOff>533400</xdr:colOff>
      <xdr:row>40</xdr:row>
      <xdr:rowOff>176212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19050</xdr:colOff>
      <xdr:row>40</xdr:row>
      <xdr:rowOff>152400</xdr:rowOff>
    </xdr:from>
    <xdr:to>
      <xdr:col>13</xdr:col>
      <xdr:colOff>28575</xdr:colOff>
      <xdr:row>55</xdr:row>
      <xdr:rowOff>38100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400050</xdr:colOff>
      <xdr:row>20</xdr:row>
      <xdr:rowOff>71437</xdr:rowOff>
    </xdr:from>
    <xdr:to>
      <xdr:col>26</xdr:col>
      <xdr:colOff>95250</xdr:colOff>
      <xdr:row>34</xdr:row>
      <xdr:rowOff>147637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371475</xdr:colOff>
      <xdr:row>20</xdr:row>
      <xdr:rowOff>128587</xdr:rowOff>
    </xdr:from>
    <xdr:to>
      <xdr:col>25</xdr:col>
      <xdr:colOff>66675</xdr:colOff>
      <xdr:row>35</xdr:row>
      <xdr:rowOff>14287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133350</xdr:colOff>
      <xdr:row>21</xdr:row>
      <xdr:rowOff>9525</xdr:rowOff>
    </xdr:from>
    <xdr:to>
      <xdr:col>31</xdr:col>
      <xdr:colOff>438150</xdr:colOff>
      <xdr:row>35</xdr:row>
      <xdr:rowOff>85725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14</xdr:col>
      <xdr:colOff>304800</xdr:colOff>
      <xdr:row>35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33</xdr:row>
      <xdr:rowOff>28575</xdr:rowOff>
    </xdr:from>
    <xdr:to>
      <xdr:col>16</xdr:col>
      <xdr:colOff>323850</xdr:colOff>
      <xdr:row>50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228600</xdr:colOff>
      <xdr:row>0</xdr:row>
      <xdr:rowOff>133350</xdr:rowOff>
    </xdr:from>
    <xdr:to>
      <xdr:col>20</xdr:col>
      <xdr:colOff>257175</xdr:colOff>
      <xdr:row>17</xdr:row>
      <xdr:rowOff>180975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12</xdr:row>
      <xdr:rowOff>19050</xdr:rowOff>
    </xdr:from>
    <xdr:to>
      <xdr:col>7</xdr:col>
      <xdr:colOff>361950</xdr:colOff>
      <xdr:row>26</xdr:row>
      <xdr:rowOff>109537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304800</xdr:colOff>
      <xdr:row>13</xdr:row>
      <xdr:rowOff>157162</xdr:rowOff>
    </xdr:from>
    <xdr:to>
      <xdr:col>15</xdr:col>
      <xdr:colOff>0</xdr:colOff>
      <xdr:row>28</xdr:row>
      <xdr:rowOff>42862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p36-43%20biodegradation%20Phenol%20m-cresol%20all%20d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b509/Downloads/standard%20curve%20of%20(phenol%20+MSM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6.1"/>
      <sheetName val="37.1"/>
      <sheetName val="38.1"/>
      <sheetName val="control"/>
      <sheetName val="39.1"/>
      <sheetName val="40"/>
      <sheetName val="41"/>
      <sheetName val="42"/>
      <sheetName val="43"/>
      <sheetName val="43 2CP"/>
    </sheetNames>
    <sheetDataSet>
      <sheetData sheetId="0"/>
      <sheetData sheetId="1"/>
      <sheetData sheetId="2">
        <row r="1">
          <cell r="A1" t="str">
            <v>Phodococcus PEIal&amp;PVAal</v>
          </cell>
        </row>
        <row r="5">
          <cell r="E5">
            <v>0</v>
          </cell>
          <cell r="AA5">
            <v>31.376221498371336</v>
          </cell>
          <cell r="AB5">
            <v>0.35682251303268164</v>
          </cell>
        </row>
        <row r="6">
          <cell r="E6">
            <v>26</v>
          </cell>
          <cell r="AA6">
            <v>30.371878393051034</v>
          </cell>
          <cell r="AB6">
            <v>0.97810309216902935</v>
          </cell>
        </row>
        <row r="7">
          <cell r="E7">
            <v>46</v>
          </cell>
          <cell r="AA7">
            <v>27.98317046688382</v>
          </cell>
          <cell r="AB7">
            <v>0.8974911814412726</v>
          </cell>
        </row>
        <row r="8">
          <cell r="E8">
            <v>70</v>
          </cell>
          <cell r="AA8">
            <v>30.68403908794788</v>
          </cell>
          <cell r="AB8">
            <v>1.7139711058509124</v>
          </cell>
        </row>
        <row r="9">
          <cell r="E9">
            <v>101</v>
          </cell>
          <cell r="AA9">
            <v>30.663680781758959</v>
          </cell>
          <cell r="AB9">
            <v>1.7086429363483142</v>
          </cell>
        </row>
        <row r="10">
          <cell r="E10">
            <v>116.5</v>
          </cell>
          <cell r="AA10">
            <v>25.974484256243215</v>
          </cell>
          <cell r="AB10">
            <v>1.9282085380215024</v>
          </cell>
        </row>
        <row r="11">
          <cell r="E11">
            <v>146</v>
          </cell>
          <cell r="AA11">
            <v>18.021172638436482</v>
          </cell>
          <cell r="AB11">
            <v>4.0768696329271235</v>
          </cell>
        </row>
        <row r="12">
          <cell r="E12">
            <v>189.5</v>
          </cell>
          <cell r="AA12">
            <v>5.846905537459282</v>
          </cell>
          <cell r="AB12">
            <v>5.0498449181048368</v>
          </cell>
        </row>
        <row r="13">
          <cell r="E13">
            <v>236.5</v>
          </cell>
          <cell r="AA13">
            <v>1.155266015200868</v>
          </cell>
          <cell r="AB13">
            <v>9.8799195807880515</v>
          </cell>
        </row>
      </sheetData>
      <sheetData sheetId="3"/>
      <sheetData sheetId="4">
        <row r="1">
          <cell r="A1" t="str">
            <v>Rho ****</v>
          </cell>
        </row>
        <row r="5">
          <cell r="E5">
            <v>0</v>
          </cell>
          <cell r="AA5">
            <v>31.376221498371336</v>
          </cell>
          <cell r="AB5">
            <v>0.35682251303268164</v>
          </cell>
        </row>
        <row r="6">
          <cell r="E6">
            <v>26</v>
          </cell>
          <cell r="AA6">
            <v>31.240499457111834</v>
          </cell>
          <cell r="AB6">
            <v>1.0114343082235941</v>
          </cell>
        </row>
        <row r="7">
          <cell r="E7">
            <v>46</v>
          </cell>
          <cell r="AA7">
            <v>30.480456026058633</v>
          </cell>
          <cell r="AB7">
            <v>0.63705560962892405</v>
          </cell>
        </row>
        <row r="8">
          <cell r="E8">
            <v>70</v>
          </cell>
          <cell r="AA8">
            <v>32.821661237785015</v>
          </cell>
          <cell r="AB8">
            <v>1.0222491887975329</v>
          </cell>
        </row>
        <row r="9">
          <cell r="E9">
            <v>116.5</v>
          </cell>
          <cell r="AA9">
            <v>-8.8517915309446256</v>
          </cell>
          <cell r="AB9">
            <v>0</v>
          </cell>
        </row>
        <row r="10">
          <cell r="E10">
            <v>116.5</v>
          </cell>
          <cell r="AA10">
            <v>28.878935939196527</v>
          </cell>
          <cell r="AB10">
            <v>1.1385129809225578</v>
          </cell>
        </row>
        <row r="11">
          <cell r="E11">
            <v>146</v>
          </cell>
          <cell r="AA11">
            <v>20.02985884907709</v>
          </cell>
          <cell r="AB11">
            <v>1.8808548321279783</v>
          </cell>
        </row>
        <row r="12">
          <cell r="E12">
            <v>189.5</v>
          </cell>
          <cell r="AA12">
            <v>4.1368078175895766</v>
          </cell>
          <cell r="AB12">
            <v>1.5388509546436056</v>
          </cell>
        </row>
        <row r="13">
          <cell r="E13">
            <v>236.5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4">
          <cell r="B4">
            <v>5</v>
          </cell>
          <cell r="E4">
            <v>4.4999999999999998E-2</v>
          </cell>
          <cell r="F4">
            <v>9.899494936611665E-3</v>
          </cell>
        </row>
        <row r="5">
          <cell r="B5">
            <v>10</v>
          </cell>
          <cell r="E5">
            <v>0.11</v>
          </cell>
          <cell r="F5">
            <v>1.4142135623730963E-3</v>
          </cell>
        </row>
        <row r="6">
          <cell r="B6">
            <v>20</v>
          </cell>
          <cell r="E6">
            <v>0.25850000000000001</v>
          </cell>
          <cell r="F6">
            <v>7.7781745930520299E-3</v>
          </cell>
        </row>
        <row r="7">
          <cell r="B7">
            <v>30</v>
          </cell>
          <cell r="E7">
            <v>0.38800000000000001</v>
          </cell>
          <cell r="F7">
            <v>1.8384776310850254E-2</v>
          </cell>
        </row>
        <row r="8">
          <cell r="B8">
            <v>40</v>
          </cell>
          <cell r="E8">
            <v>0.51649999999999996</v>
          </cell>
          <cell r="F8">
            <v>1.0606601717798222E-2</v>
          </cell>
        </row>
        <row r="9">
          <cell r="B9">
            <v>50</v>
          </cell>
          <cell r="E9">
            <v>0.69750000000000001</v>
          </cell>
          <cell r="F9">
            <v>2.333452377915601E-2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9"/>
  <sheetViews>
    <sheetView zoomScale="75" zoomScaleNormal="75" workbookViewId="0">
      <selection activeCell="D1" sqref="D1"/>
    </sheetView>
  </sheetViews>
  <sheetFormatPr defaultRowHeight="15" x14ac:dyDescent="0.25"/>
  <cols>
    <col min="1" max="2" width="9.140625" style="1"/>
    <col min="5" max="10" width="0" hidden="1" customWidth="1"/>
  </cols>
  <sheetData>
    <row r="1" spans="1:39" ht="18.75" x14ac:dyDescent="0.3">
      <c r="A1" s="1" t="s">
        <v>66</v>
      </c>
      <c r="C1" s="1"/>
      <c r="D1" s="2" t="s">
        <v>108</v>
      </c>
      <c r="G1" s="2"/>
      <c r="K1" s="3"/>
      <c r="L1" s="3"/>
      <c r="M1" s="4"/>
      <c r="N1" s="4"/>
      <c r="O1" s="3"/>
      <c r="P1" s="3" t="s">
        <v>65</v>
      </c>
      <c r="W1" s="5">
        <v>48.1</v>
      </c>
      <c r="Y1" s="5">
        <v>48.2</v>
      </c>
      <c r="Z1" s="6"/>
      <c r="AA1" s="5">
        <v>48.3</v>
      </c>
      <c r="AJ1">
        <v>48</v>
      </c>
      <c r="AK1" t="s">
        <v>88</v>
      </c>
      <c r="AL1">
        <v>120</v>
      </c>
    </row>
    <row r="2" spans="1:39" x14ac:dyDescent="0.25">
      <c r="C2" s="2" t="s">
        <v>46</v>
      </c>
      <c r="D2" t="s">
        <v>104</v>
      </c>
      <c r="F2" s="2"/>
      <c r="G2" s="2"/>
      <c r="H2" s="2"/>
      <c r="I2" s="7"/>
      <c r="K2" s="8"/>
      <c r="L2" s="8"/>
      <c r="M2" s="9"/>
      <c r="N2" s="9"/>
      <c r="O2" s="8"/>
      <c r="P2" s="3"/>
      <c r="AI2" t="s">
        <v>91</v>
      </c>
      <c r="AJ2">
        <f>(60-55.6)/49</f>
        <v>8.9795918367346905E-2</v>
      </c>
      <c r="AL2">
        <f>55/117.5</f>
        <v>0.46808510638297873</v>
      </c>
    </row>
    <row r="3" spans="1:39" ht="18.75" x14ac:dyDescent="0.3">
      <c r="C3" s="5" t="s">
        <v>103</v>
      </c>
      <c r="E3" s="5"/>
      <c r="F3" s="5"/>
      <c r="G3" s="5"/>
      <c r="H3" s="5"/>
      <c r="I3" s="5"/>
      <c r="J3" s="5"/>
      <c r="K3" s="5">
        <v>48.1</v>
      </c>
      <c r="M3" s="5">
        <v>48.2</v>
      </c>
      <c r="N3" s="6"/>
      <c r="O3" s="5">
        <v>48.3</v>
      </c>
      <c r="P3" s="10"/>
      <c r="Q3" t="s">
        <v>0</v>
      </c>
      <c r="S3" t="s">
        <v>1</v>
      </c>
      <c r="U3" t="s">
        <v>2</v>
      </c>
      <c r="W3" s="1" t="s">
        <v>0</v>
      </c>
      <c r="X3" s="1" t="s">
        <v>1</v>
      </c>
      <c r="Y3" s="1" t="s">
        <v>2</v>
      </c>
      <c r="Z3" s="11"/>
      <c r="AA3" s="11"/>
      <c r="AI3" t="s">
        <v>92</v>
      </c>
      <c r="AJ3">
        <v>0.36290256156824002</v>
      </c>
      <c r="AK3">
        <v>4.2413134035812303E-2</v>
      </c>
      <c r="AL3">
        <v>0.51735441891112766</v>
      </c>
      <c r="AM3">
        <v>1.6099327372880959E-2</v>
      </c>
    </row>
    <row r="4" spans="1:39" ht="15.75" x14ac:dyDescent="0.25">
      <c r="A4" s="1" t="s">
        <v>3</v>
      </c>
      <c r="B4" s="1" t="s">
        <v>4</v>
      </c>
      <c r="C4" s="12" t="s">
        <v>5</v>
      </c>
      <c r="D4" s="12"/>
      <c r="E4" s="12"/>
      <c r="F4" s="12"/>
      <c r="G4" s="12"/>
      <c r="H4" s="12"/>
      <c r="I4" s="13"/>
      <c r="J4" s="13"/>
      <c r="K4" s="14" t="s">
        <v>6</v>
      </c>
      <c r="L4" s="14"/>
      <c r="M4" s="15" t="s">
        <v>6</v>
      </c>
      <c r="N4" s="15"/>
      <c r="O4" s="14" t="s">
        <v>6</v>
      </c>
      <c r="P4" s="14"/>
      <c r="Q4" s="16" t="s">
        <v>7</v>
      </c>
      <c r="R4" s="17"/>
      <c r="S4" s="18"/>
      <c r="T4" s="18"/>
      <c r="U4" s="18"/>
      <c r="V4" s="18"/>
      <c r="W4" t="s">
        <v>8</v>
      </c>
      <c r="X4" t="s">
        <v>9</v>
      </c>
      <c r="Y4" t="s">
        <v>10</v>
      </c>
      <c r="Z4" s="11" t="s">
        <v>11</v>
      </c>
      <c r="AA4" s="11" t="s">
        <v>12</v>
      </c>
      <c r="AB4" s="11" t="s">
        <v>11</v>
      </c>
      <c r="AI4" t="s">
        <v>93</v>
      </c>
      <c r="AJ4" s="27">
        <f>AVERAGE(AB7:AD7)</f>
        <v>0.58907832962688433</v>
      </c>
      <c r="AK4" s="27">
        <f>STDEV(AB7:AD7)</f>
        <v>6.4964796882599596E-2</v>
      </c>
      <c r="AL4" s="27">
        <f>AVERAGE(AB10:AD10)</f>
        <v>0.52664936990363242</v>
      </c>
      <c r="AM4" s="27">
        <f>STDEV(AB10:AD10)</f>
        <v>0</v>
      </c>
    </row>
    <row r="5" spans="1:39" x14ac:dyDescent="0.25">
      <c r="A5" s="1">
        <v>0</v>
      </c>
      <c r="C5" s="19" t="s">
        <v>13</v>
      </c>
      <c r="D5" t="s">
        <v>14</v>
      </c>
      <c r="K5">
        <v>8.0500000000000007</v>
      </c>
      <c r="L5">
        <v>8.3800000000000008</v>
      </c>
      <c r="M5">
        <v>8.0500000000000007</v>
      </c>
      <c r="N5">
        <v>8.3800000000000008</v>
      </c>
      <c r="O5">
        <v>8.0500000000000007</v>
      </c>
      <c r="P5">
        <v>8.3800000000000008</v>
      </c>
      <c r="Q5" s="26">
        <f t="shared" ref="Q5:V5" si="0">(K5+0.3104)/0.142</f>
        <v>58.876056338028178</v>
      </c>
      <c r="R5" s="26">
        <f t="shared" si="0"/>
        <v>61.20000000000001</v>
      </c>
      <c r="S5" s="26">
        <f t="shared" si="0"/>
        <v>58.876056338028178</v>
      </c>
      <c r="T5" s="26">
        <f t="shared" si="0"/>
        <v>61.20000000000001</v>
      </c>
      <c r="U5" s="26">
        <f t="shared" si="0"/>
        <v>58.876056338028178</v>
      </c>
      <c r="V5" s="26">
        <f t="shared" si="0"/>
        <v>61.20000000000001</v>
      </c>
      <c r="W5" s="26">
        <f>AVERAGE(Q5:R5)</f>
        <v>60.038028169014098</v>
      </c>
      <c r="X5" s="26">
        <f>AVERAGE(S5:T5)</f>
        <v>60.038028169014098</v>
      </c>
      <c r="Y5" s="26">
        <f>AVERAGE(U5:V5)</f>
        <v>60.038028169014098</v>
      </c>
      <c r="Z5" s="27">
        <f>AVERAGE(Q5:V5)</f>
        <v>60.038028169014098</v>
      </c>
      <c r="AA5" s="27">
        <f>STDEV(Q5:V5)</f>
        <v>1.272876366033133</v>
      </c>
    </row>
    <row r="6" spans="1:39" x14ac:dyDescent="0.25">
      <c r="A6" s="1">
        <f>24-3.5</f>
        <v>20.5</v>
      </c>
      <c r="C6">
        <v>27.06</v>
      </c>
      <c r="D6" t="s">
        <v>15</v>
      </c>
      <c r="K6">
        <v>6.02</v>
      </c>
      <c r="L6">
        <v>6.32</v>
      </c>
      <c r="M6">
        <v>6.21</v>
      </c>
      <c r="N6">
        <v>6.08</v>
      </c>
      <c r="O6">
        <v>5.93</v>
      </c>
      <c r="P6">
        <v>6.21</v>
      </c>
      <c r="Q6" s="26">
        <f t="shared" ref="Q6:Q28" si="1">(K6+0.3104)/0.142</f>
        <v>44.580281690140843</v>
      </c>
      <c r="R6" s="26">
        <f>(L6+0.3104)/0.142</f>
        <v>46.692957746478875</v>
      </c>
      <c r="S6" s="26">
        <f t="shared" ref="S6:S28" si="2">(M6+0.3104)/0.142</f>
        <v>45.918309859154938</v>
      </c>
      <c r="T6" s="26">
        <f>(N6+0.3104)/0.142</f>
        <v>45.002816901408451</v>
      </c>
      <c r="U6" s="26">
        <f t="shared" ref="U6:U27" si="3">(O6+0.3104)/0.142</f>
        <v>43.946478873239435</v>
      </c>
      <c r="V6" s="26">
        <f>(P6+0.3104)/0.142</f>
        <v>45.918309859154938</v>
      </c>
      <c r="W6" s="26">
        <f t="shared" ref="W6:W28" si="4">AVERAGE(Q6:R6)</f>
        <v>45.636619718309859</v>
      </c>
      <c r="X6" s="26">
        <f t="shared" ref="X6:X28" si="5">AVERAGE(S6:T6)</f>
        <v>45.460563380281698</v>
      </c>
      <c r="Y6" s="26">
        <f t="shared" ref="Y6:Y28" si="6">AVERAGE(U6:V6)</f>
        <v>44.932394366197187</v>
      </c>
      <c r="Z6" s="27">
        <f t="shared" ref="Z6:Z28" si="7">AVERAGE(Q6:V6)</f>
        <v>45.343192488262922</v>
      </c>
      <c r="AA6" s="27">
        <f t="shared" ref="AA6:AA28" si="8">STDEV(Q6:V6)</f>
        <v>1.0131222612597195</v>
      </c>
    </row>
    <row r="7" spans="1:39" x14ac:dyDescent="0.25">
      <c r="A7" s="1">
        <f>47.5</f>
        <v>47.5</v>
      </c>
      <c r="C7">
        <v>28.06</v>
      </c>
      <c r="D7" t="s">
        <v>16</v>
      </c>
      <c r="K7">
        <v>3.64</v>
      </c>
      <c r="L7">
        <v>3.94</v>
      </c>
      <c r="M7">
        <v>4.72</v>
      </c>
      <c r="N7">
        <v>4.6100000000000003</v>
      </c>
      <c r="O7">
        <v>4.3600000000000003</v>
      </c>
      <c r="P7">
        <v>4.18</v>
      </c>
      <c r="Q7" s="26">
        <f t="shared" si="1"/>
        <v>27.819718309859159</v>
      </c>
      <c r="R7" s="26">
        <f>(L7+0.3104)/0.142</f>
        <v>29.932394366197187</v>
      </c>
      <c r="S7" s="26">
        <f t="shared" si="2"/>
        <v>35.425352112676059</v>
      </c>
      <c r="T7" s="26">
        <f>(N7+0.3104)/0.142</f>
        <v>34.650704225352122</v>
      </c>
      <c r="U7" s="26">
        <f t="shared" si="3"/>
        <v>32.890140845070434</v>
      </c>
      <c r="V7" s="26">
        <f>(P7+0.3104)/0.142</f>
        <v>31.622535211267603</v>
      </c>
      <c r="W7" s="26">
        <f t="shared" si="4"/>
        <v>28.876056338028171</v>
      </c>
      <c r="X7" s="26">
        <f t="shared" si="5"/>
        <v>35.03802816901409</v>
      </c>
      <c r="Y7" s="26">
        <f t="shared" si="6"/>
        <v>32.256338028169019</v>
      </c>
      <c r="Z7" s="27">
        <f t="shared" si="7"/>
        <v>32.056807511737091</v>
      </c>
      <c r="AA7" s="27">
        <f t="shared" si="8"/>
        <v>2.8783497314409439</v>
      </c>
      <c r="AB7" s="26">
        <f>(W5-W7)/47.5</f>
        <v>0.65604151223128271</v>
      </c>
      <c r="AC7" s="26">
        <f>(X5-X7)/47.5</f>
        <v>0.5263157894736844</v>
      </c>
      <c r="AD7" s="26">
        <f>(Y5-Y7)/47.5</f>
        <v>0.58487768717568589</v>
      </c>
    </row>
    <row r="8" spans="1:39" x14ac:dyDescent="0.25">
      <c r="A8" s="1">
        <f>24*3-2.5</f>
        <v>69.5</v>
      </c>
      <c r="C8">
        <v>29.06</v>
      </c>
      <c r="D8" t="s">
        <v>17</v>
      </c>
      <c r="K8">
        <v>1.08</v>
      </c>
      <c r="L8">
        <v>1.01</v>
      </c>
      <c r="M8">
        <v>2.93</v>
      </c>
      <c r="N8">
        <v>2.82</v>
      </c>
      <c r="O8">
        <v>1.1399999999999999</v>
      </c>
      <c r="P8">
        <v>0.91</v>
      </c>
      <c r="Q8" s="26">
        <f t="shared" si="1"/>
        <v>9.7915492957746491</v>
      </c>
      <c r="R8" s="26">
        <f>(L8+0.3104)/0.142</f>
        <v>9.2985915492957751</v>
      </c>
      <c r="S8" s="26">
        <f t="shared" si="2"/>
        <v>22.819718309859159</v>
      </c>
      <c r="T8" s="26">
        <f>(N8+0.3104)/0.142</f>
        <v>22.045070422535211</v>
      </c>
      <c r="U8" s="26">
        <f t="shared" si="3"/>
        <v>10.214084507042253</v>
      </c>
      <c r="V8" s="26">
        <f>(P8+0.3104)/0.142</f>
        <v>8.5943661971831009</v>
      </c>
      <c r="W8" s="26">
        <f t="shared" si="4"/>
        <v>9.5450704225352112</v>
      </c>
      <c r="X8" s="26">
        <f t="shared" si="5"/>
        <v>22.432394366197187</v>
      </c>
      <c r="Y8" s="26">
        <f t="shared" si="6"/>
        <v>9.4042253521126771</v>
      </c>
      <c r="Z8" s="27">
        <f t="shared" si="7"/>
        <v>13.793896713615025</v>
      </c>
      <c r="AA8" s="27">
        <f t="shared" si="8"/>
        <v>6.7175002710991514</v>
      </c>
    </row>
    <row r="9" spans="1:39" x14ac:dyDescent="0.25">
      <c r="A9" s="1">
        <f>24*4-3</f>
        <v>93</v>
      </c>
      <c r="B9" s="1" t="s">
        <v>19</v>
      </c>
      <c r="C9">
        <v>30.06</v>
      </c>
      <c r="D9" t="s">
        <v>18</v>
      </c>
      <c r="K9">
        <v>4.0000000000000001E-3</v>
      </c>
      <c r="L9">
        <v>2E-3</v>
      </c>
      <c r="M9">
        <v>0.46800000000000003</v>
      </c>
      <c r="N9">
        <v>0.44900000000000001</v>
      </c>
      <c r="O9">
        <v>0</v>
      </c>
      <c r="P9">
        <v>0</v>
      </c>
      <c r="Q9" s="26">
        <v>0</v>
      </c>
      <c r="R9" s="26">
        <v>0</v>
      </c>
      <c r="S9" s="26">
        <f t="shared" si="2"/>
        <v>5.4816901408450711</v>
      </c>
      <c r="T9" s="26">
        <f>(N9+0.3104)/0.142</f>
        <v>5.3478873239436631</v>
      </c>
      <c r="U9" s="26"/>
      <c r="V9" s="26">
        <v>0</v>
      </c>
      <c r="W9" s="26">
        <f t="shared" si="4"/>
        <v>0</v>
      </c>
      <c r="X9" s="26">
        <f t="shared" si="5"/>
        <v>5.4147887323943671</v>
      </c>
      <c r="Y9" s="26">
        <f t="shared" si="6"/>
        <v>0</v>
      </c>
      <c r="Z9" s="27">
        <f>AVERAGE(Q9:V9)</f>
        <v>2.1659154929577467</v>
      </c>
      <c r="AA9" s="27">
        <f t="shared" si="8"/>
        <v>2.9661791928617265</v>
      </c>
    </row>
    <row r="10" spans="1:39" x14ac:dyDescent="0.25">
      <c r="A10" s="1">
        <f>5*24-6</f>
        <v>114</v>
      </c>
      <c r="C10" t="s">
        <v>20</v>
      </c>
      <c r="D10" t="s">
        <v>21</v>
      </c>
      <c r="M10">
        <v>5.0000000000000001E-3</v>
      </c>
      <c r="N10">
        <v>4.0000000000000001E-3</v>
      </c>
      <c r="Q10" s="26">
        <v>0</v>
      </c>
      <c r="R10" s="26">
        <v>0</v>
      </c>
      <c r="S10" s="26">
        <v>0</v>
      </c>
      <c r="T10" s="26">
        <v>0</v>
      </c>
      <c r="U10" s="26"/>
      <c r="V10" s="26">
        <v>0</v>
      </c>
      <c r="W10" s="26">
        <f t="shared" si="4"/>
        <v>0</v>
      </c>
      <c r="X10" s="26">
        <f t="shared" si="5"/>
        <v>0</v>
      </c>
      <c r="Y10" s="26">
        <f t="shared" si="6"/>
        <v>0</v>
      </c>
      <c r="Z10" s="27">
        <f>AVERAGE(Q10:V10)</f>
        <v>0</v>
      </c>
      <c r="AA10" s="27">
        <f t="shared" si="8"/>
        <v>0</v>
      </c>
      <c r="AB10" s="26">
        <f>W5/114</f>
        <v>0.52664936990363242</v>
      </c>
      <c r="AC10" s="26">
        <f>X5/114</f>
        <v>0.52664936990363242</v>
      </c>
      <c r="AD10" s="26">
        <f>Y5/114</f>
        <v>0.52664936990363242</v>
      </c>
    </row>
    <row r="11" spans="1:39" x14ac:dyDescent="0.25">
      <c r="A11" s="1">
        <v>0</v>
      </c>
      <c r="B11" s="1" t="s">
        <v>22</v>
      </c>
      <c r="C11" t="s">
        <v>20</v>
      </c>
      <c r="D11" t="s">
        <v>24</v>
      </c>
      <c r="K11">
        <f t="shared" ref="K11:P11" si="9">0.396*40</f>
        <v>15.84</v>
      </c>
      <c r="L11">
        <f t="shared" si="9"/>
        <v>15.84</v>
      </c>
      <c r="M11">
        <f t="shared" si="9"/>
        <v>15.84</v>
      </c>
      <c r="N11">
        <f t="shared" si="9"/>
        <v>15.84</v>
      </c>
      <c r="O11">
        <f t="shared" si="9"/>
        <v>15.84</v>
      </c>
      <c r="P11">
        <f t="shared" si="9"/>
        <v>15.84</v>
      </c>
      <c r="Q11" s="26">
        <f t="shared" si="1"/>
        <v>113.73521126760565</v>
      </c>
      <c r="R11" s="26">
        <f>(L11+0.3104)/0.142</f>
        <v>113.73521126760565</v>
      </c>
      <c r="S11" s="26">
        <f t="shared" si="2"/>
        <v>113.73521126760565</v>
      </c>
      <c r="T11" s="26">
        <f>(N11+0.3104)/0.142</f>
        <v>113.73521126760565</v>
      </c>
      <c r="U11" s="26">
        <f t="shared" si="3"/>
        <v>113.73521126760565</v>
      </c>
      <c r="V11" s="26">
        <f>(P11+0.3104)/0.142</f>
        <v>113.73521126760565</v>
      </c>
      <c r="W11" s="26">
        <f t="shared" si="4"/>
        <v>113.73521126760565</v>
      </c>
      <c r="X11" s="26">
        <f t="shared" si="5"/>
        <v>113.73521126760565</v>
      </c>
      <c r="Y11" s="26">
        <f t="shared" si="6"/>
        <v>113.73521126760565</v>
      </c>
      <c r="Z11" s="27">
        <f t="shared" si="7"/>
        <v>113.73521126760566</v>
      </c>
      <c r="AA11" s="27">
        <f t="shared" si="8"/>
        <v>1.556721137788958E-14</v>
      </c>
    </row>
    <row r="12" spans="1:39" x14ac:dyDescent="0.25">
      <c r="A12" s="1">
        <f>44</f>
        <v>44</v>
      </c>
      <c r="C12">
        <v>3.07</v>
      </c>
      <c r="D12" t="s">
        <v>25</v>
      </c>
      <c r="K12">
        <v>1.58</v>
      </c>
      <c r="M12">
        <v>3.13</v>
      </c>
      <c r="O12">
        <v>2.38</v>
      </c>
      <c r="P12">
        <v>2.35</v>
      </c>
      <c r="Q12" s="26">
        <f>(K12+0.3104)/0.142</f>
        <v>13.312676056338029</v>
      </c>
      <c r="R12" s="26"/>
      <c r="S12" s="26">
        <f t="shared" si="2"/>
        <v>24.228169014084507</v>
      </c>
      <c r="T12" s="26"/>
      <c r="U12" s="26">
        <f t="shared" si="3"/>
        <v>18.946478873239439</v>
      </c>
      <c r="V12" s="26">
        <f>(P12+0.3104)/0.142</f>
        <v>18.735211267605635</v>
      </c>
      <c r="W12" s="26">
        <f t="shared" si="4"/>
        <v>13.312676056338029</v>
      </c>
      <c r="X12" s="26">
        <f t="shared" si="5"/>
        <v>24.228169014084507</v>
      </c>
      <c r="Y12" s="26">
        <f t="shared" si="6"/>
        <v>18.840845070422539</v>
      </c>
      <c r="Z12" s="27">
        <f t="shared" si="7"/>
        <v>18.805633802816903</v>
      </c>
      <c r="AA12" s="27">
        <f>STDEV(Q12:V12)</f>
        <v>4.4572513798441271</v>
      </c>
      <c r="AB12">
        <f>(W11-W12)/44</f>
        <v>2.2823303457106277</v>
      </c>
      <c r="AC12">
        <f>(X11-X12)/44</f>
        <v>2.0342509603072987</v>
      </c>
      <c r="AD12">
        <f>(Y11-Y12)/44</f>
        <v>2.1566901408450705</v>
      </c>
      <c r="AE12">
        <f>AVERAGE(AB12:AD12,AB17:AD17)</f>
        <v>2.253387750746906</v>
      </c>
      <c r="AF12">
        <f>STDEV(AB12:AD12,AB17:AD17)</f>
        <v>0.16625956475204298</v>
      </c>
    </row>
    <row r="13" spans="1:39" x14ac:dyDescent="0.25">
      <c r="A13" s="1">
        <f>A12+22.75</f>
        <v>66.75</v>
      </c>
      <c r="C13">
        <v>4.07</v>
      </c>
      <c r="D13" t="s">
        <v>26</v>
      </c>
      <c r="K13">
        <v>4.0000000000000001E-3</v>
      </c>
      <c r="M13">
        <v>0.29299999999999998</v>
      </c>
      <c r="O13">
        <v>0.129</v>
      </c>
      <c r="P13">
        <v>0.104</v>
      </c>
      <c r="Q13" s="26">
        <f>(K13+0.3104)/0.142</f>
        <v>2.2140845070422537</v>
      </c>
      <c r="R13" s="26"/>
      <c r="S13" s="26">
        <f t="shared" si="2"/>
        <v>4.2492957746478872</v>
      </c>
      <c r="T13" s="26"/>
      <c r="U13" s="26">
        <f t="shared" si="3"/>
        <v>3.0943661971830991</v>
      </c>
      <c r="V13" s="26">
        <f>(P13+0.3104)/0.142</f>
        <v>2.9183098591549297</v>
      </c>
      <c r="W13" s="26">
        <f t="shared" si="4"/>
        <v>2.2140845070422537</v>
      </c>
      <c r="X13" s="26">
        <f t="shared" si="5"/>
        <v>4.2492957746478872</v>
      </c>
      <c r="Y13" s="26">
        <f t="shared" si="6"/>
        <v>3.0063380281690142</v>
      </c>
      <c r="Z13" s="27">
        <f t="shared" si="7"/>
        <v>3.1190140845070422</v>
      </c>
      <c r="AA13" s="27">
        <f t="shared" si="8"/>
        <v>0.84406238783279042</v>
      </c>
    </row>
    <row r="14" spans="1:39" x14ac:dyDescent="0.25">
      <c r="A14" s="1">
        <f>24*3+1.5</f>
        <v>73.5</v>
      </c>
      <c r="C14">
        <v>4.07</v>
      </c>
      <c r="D14" t="s">
        <v>27</v>
      </c>
      <c r="K14">
        <v>2.8000000000000001E-2</v>
      </c>
      <c r="M14">
        <v>7.9000000000000001E-2</v>
      </c>
      <c r="O14">
        <v>3.3000000000000002E-2</v>
      </c>
      <c r="Q14" s="26">
        <f>(K14+0.3104)/0.142</f>
        <v>2.3830985915492962</v>
      </c>
      <c r="R14" s="26"/>
      <c r="S14" s="26">
        <f t="shared" si="2"/>
        <v>2.7422535211267611</v>
      </c>
      <c r="T14" s="26"/>
      <c r="U14" s="26">
        <v>1</v>
      </c>
      <c r="V14" s="26">
        <v>0</v>
      </c>
      <c r="W14" s="26">
        <f t="shared" si="4"/>
        <v>2.3830985915492962</v>
      </c>
      <c r="X14" s="26">
        <f t="shared" si="5"/>
        <v>2.7422535211267611</v>
      </c>
      <c r="Y14" s="26">
        <f t="shared" si="6"/>
        <v>0.5</v>
      </c>
      <c r="Z14" s="27">
        <f t="shared" si="7"/>
        <v>1.5313380281690143</v>
      </c>
      <c r="AA14" s="27">
        <f t="shared" si="8"/>
        <v>1.2674289783008355</v>
      </c>
    </row>
    <row r="15" spans="1:39" x14ac:dyDescent="0.25">
      <c r="A15" s="1">
        <v>0</v>
      </c>
      <c r="B15" s="1" t="s">
        <v>22</v>
      </c>
      <c r="C15">
        <v>4.07</v>
      </c>
      <c r="D15" t="s">
        <v>28</v>
      </c>
      <c r="K15">
        <f t="shared" ref="K15:P15" si="10">0.396*40</f>
        <v>15.84</v>
      </c>
      <c r="L15">
        <f t="shared" si="10"/>
        <v>15.84</v>
      </c>
      <c r="M15">
        <f t="shared" si="10"/>
        <v>15.84</v>
      </c>
      <c r="N15">
        <f t="shared" si="10"/>
        <v>15.84</v>
      </c>
      <c r="O15">
        <f t="shared" si="10"/>
        <v>15.84</v>
      </c>
      <c r="P15">
        <f t="shared" si="10"/>
        <v>15.84</v>
      </c>
      <c r="Q15" s="26">
        <f t="shared" si="1"/>
        <v>113.73521126760565</v>
      </c>
      <c r="R15" s="26">
        <f>(L15+0.3104)/0.142</f>
        <v>113.73521126760565</v>
      </c>
      <c r="S15" s="26">
        <f t="shared" si="2"/>
        <v>113.73521126760565</v>
      </c>
      <c r="T15" s="26">
        <f>(N15+0.3104)/0.142</f>
        <v>113.73521126760565</v>
      </c>
      <c r="U15" s="26">
        <f t="shared" si="3"/>
        <v>113.73521126760565</v>
      </c>
      <c r="V15" s="26">
        <f>(P15+0.3104)/0.142</f>
        <v>113.73521126760565</v>
      </c>
      <c r="W15" s="26">
        <f t="shared" si="4"/>
        <v>113.73521126760565</v>
      </c>
      <c r="X15" s="26">
        <f t="shared" si="5"/>
        <v>113.73521126760565</v>
      </c>
      <c r="Y15" s="26">
        <f t="shared" si="6"/>
        <v>113.73521126760565</v>
      </c>
      <c r="Z15" s="27">
        <f t="shared" si="7"/>
        <v>113.73521126760566</v>
      </c>
      <c r="AA15" s="27">
        <f t="shared" si="8"/>
        <v>1.556721137788958E-14</v>
      </c>
    </row>
    <row r="16" spans="1:39" x14ac:dyDescent="0.25">
      <c r="A16" s="1">
        <f>24-6.5</f>
        <v>17.5</v>
      </c>
      <c r="C16">
        <v>5.07</v>
      </c>
      <c r="D16" t="s">
        <v>18</v>
      </c>
      <c r="K16">
        <v>11.04</v>
      </c>
      <c r="L16">
        <v>10.92</v>
      </c>
      <c r="M16">
        <v>10.72</v>
      </c>
      <c r="N16">
        <v>10.64</v>
      </c>
      <c r="O16">
        <v>11.07</v>
      </c>
      <c r="P16">
        <v>11.24</v>
      </c>
      <c r="Q16" s="26">
        <f t="shared" si="1"/>
        <v>79.932394366197187</v>
      </c>
      <c r="R16" s="26">
        <f>(L16+0.3104)/0.142</f>
        <v>79.087323943661971</v>
      </c>
      <c r="S16" s="26">
        <f t="shared" si="2"/>
        <v>77.678873239436626</v>
      </c>
      <c r="T16" s="26">
        <f>(N16+0.3104)/0.142</f>
        <v>77.115492957746483</v>
      </c>
      <c r="U16" s="26">
        <f t="shared" si="3"/>
        <v>80.143661971830994</v>
      </c>
      <c r="V16" s="26">
        <f>(P16+0.3104)/0.142</f>
        <v>81.340845070422546</v>
      </c>
      <c r="W16" s="26">
        <f t="shared" si="4"/>
        <v>79.509859154929586</v>
      </c>
      <c r="X16" s="26">
        <f t="shared" si="5"/>
        <v>77.397183098591555</v>
      </c>
      <c r="Y16" s="26">
        <f t="shared" si="6"/>
        <v>80.74225352112677</v>
      </c>
      <c r="Z16" s="27">
        <f t="shared" si="7"/>
        <v>79.216431924882627</v>
      </c>
      <c r="AA16" s="27">
        <f t="shared" si="8"/>
        <v>1.5924942144897221</v>
      </c>
    </row>
    <row r="17" spans="1:32" x14ac:dyDescent="0.25">
      <c r="A17" s="1">
        <f>48-3.5</f>
        <v>44.5</v>
      </c>
      <c r="C17">
        <v>6.07</v>
      </c>
      <c r="D17" t="s">
        <v>14</v>
      </c>
      <c r="K17">
        <v>1.64</v>
      </c>
      <c r="M17">
        <v>0</v>
      </c>
      <c r="O17">
        <v>1.85</v>
      </c>
      <c r="Q17" s="26">
        <f>(K17+0.3104)/0.142</f>
        <v>13.735211267605635</v>
      </c>
      <c r="R17" s="26"/>
      <c r="S17" s="26">
        <f t="shared" si="2"/>
        <v>2.1859154929577467</v>
      </c>
      <c r="T17" s="26">
        <f>(N17+0.3104)/0.142</f>
        <v>2.1859154929577467</v>
      </c>
      <c r="U17" s="26">
        <f t="shared" si="3"/>
        <v>15.214084507042255</v>
      </c>
      <c r="V17" s="26"/>
      <c r="W17" s="26">
        <f t="shared" si="4"/>
        <v>13.735211267605635</v>
      </c>
      <c r="X17" s="26">
        <f>AVERAGE(S17:T17)</f>
        <v>2.1859154929577467</v>
      </c>
      <c r="Y17" s="26">
        <f t="shared" si="6"/>
        <v>15.214084507042255</v>
      </c>
      <c r="Z17" s="27">
        <f t="shared" si="7"/>
        <v>8.330281690140847</v>
      </c>
      <c r="AA17" s="27">
        <f t="shared" si="8"/>
        <v>7.1205448501620072</v>
      </c>
      <c r="AB17">
        <f>(W15-W17)/44</f>
        <v>2.2727272727272729</v>
      </c>
      <c r="AC17">
        <f>(X15-X17)/44</f>
        <v>2.535211267605634</v>
      </c>
      <c r="AD17">
        <f>(Y15-Y17)/44</f>
        <v>2.2391165172855314</v>
      </c>
    </row>
    <row r="18" spans="1:32" x14ac:dyDescent="0.25">
      <c r="A18" s="1">
        <f>3*24-6</f>
        <v>66</v>
      </c>
      <c r="C18">
        <v>7.07</v>
      </c>
      <c r="D18" t="s">
        <v>29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 s="26">
        <v>0</v>
      </c>
      <c r="R18" s="26"/>
      <c r="S18" s="26">
        <v>0</v>
      </c>
      <c r="T18" s="26"/>
      <c r="U18" s="26">
        <v>0</v>
      </c>
      <c r="V18" s="26"/>
      <c r="W18" s="26">
        <f t="shared" si="4"/>
        <v>0</v>
      </c>
      <c r="X18" s="26">
        <f t="shared" si="5"/>
        <v>0</v>
      </c>
      <c r="Y18" s="26">
        <f t="shared" si="6"/>
        <v>0</v>
      </c>
      <c r="Z18" s="27">
        <f t="shared" si="7"/>
        <v>0</v>
      </c>
      <c r="AA18" s="27">
        <f t="shared" si="8"/>
        <v>0</v>
      </c>
    </row>
    <row r="19" spans="1:32" x14ac:dyDescent="0.25">
      <c r="A19" s="1">
        <v>0</v>
      </c>
      <c r="B19" s="1" t="s">
        <v>30</v>
      </c>
      <c r="C19">
        <v>7.07</v>
      </c>
      <c r="D19" t="s">
        <v>24</v>
      </c>
      <c r="K19">
        <f>0.679*40</f>
        <v>27.160000000000004</v>
      </c>
      <c r="L19">
        <f>0.698*40</f>
        <v>27.919999999999998</v>
      </c>
      <c r="M19">
        <f>0.679*40</f>
        <v>27.160000000000004</v>
      </c>
      <c r="N19">
        <f>0.698*40</f>
        <v>27.919999999999998</v>
      </c>
      <c r="O19">
        <f>0.679*40</f>
        <v>27.160000000000004</v>
      </c>
      <c r="P19">
        <f>0.698*40</f>
        <v>27.919999999999998</v>
      </c>
      <c r="Q19" s="26">
        <f t="shared" si="1"/>
        <v>193.45352112676062</v>
      </c>
      <c r="R19" s="26">
        <f>(L19+0.3104)/0.142</f>
        <v>198.80563380281691</v>
      </c>
      <c r="S19" s="26">
        <f t="shared" si="2"/>
        <v>193.45352112676062</v>
      </c>
      <c r="T19" s="26">
        <f>(N19+0.3104)/0.142</f>
        <v>198.80563380281691</v>
      </c>
      <c r="U19" s="26">
        <f t="shared" si="3"/>
        <v>193.45352112676062</v>
      </c>
      <c r="V19" s="26">
        <f>(P19+0.3104)/0.142</f>
        <v>198.80563380281691</v>
      </c>
      <c r="W19" s="26">
        <f t="shared" si="4"/>
        <v>196.12957746478878</v>
      </c>
      <c r="X19" s="26">
        <f t="shared" si="5"/>
        <v>196.12957746478878</v>
      </c>
      <c r="Y19" s="26">
        <f t="shared" si="6"/>
        <v>196.12957746478878</v>
      </c>
      <c r="Z19" s="27">
        <f t="shared" si="7"/>
        <v>196.12957746478878</v>
      </c>
      <c r="AA19" s="27">
        <f t="shared" si="8"/>
        <v>2.931472842985372</v>
      </c>
    </row>
    <row r="20" spans="1:32" x14ac:dyDescent="0.25">
      <c r="A20" s="1">
        <f>24-4.3</f>
        <v>19.7</v>
      </c>
      <c r="C20">
        <v>8.07</v>
      </c>
      <c r="D20" t="s">
        <v>31</v>
      </c>
      <c r="K20">
        <v>24.36</v>
      </c>
      <c r="L20">
        <f>1.301*20</f>
        <v>26.02</v>
      </c>
      <c r="M20">
        <f>0.654*30</f>
        <v>19.62</v>
      </c>
      <c r="O20">
        <f>0.654*30</f>
        <v>19.62</v>
      </c>
      <c r="Q20" s="26">
        <f t="shared" si="1"/>
        <v>173.73521126760565</v>
      </c>
      <c r="R20" s="26">
        <f>(L20+0.3104)/0.142</f>
        <v>185.42535211267608</v>
      </c>
      <c r="S20" s="26">
        <f t="shared" si="2"/>
        <v>140.35492957746482</v>
      </c>
      <c r="T20" s="26"/>
      <c r="U20" s="26">
        <f t="shared" si="3"/>
        <v>140.35492957746482</v>
      </c>
      <c r="V20" s="26"/>
      <c r="W20" s="26">
        <f t="shared" si="4"/>
        <v>179.58028169014085</v>
      </c>
      <c r="X20" s="26">
        <f t="shared" si="5"/>
        <v>140.35492957746482</v>
      </c>
      <c r="Y20" s="26">
        <f t="shared" si="6"/>
        <v>140.35492957746482</v>
      </c>
      <c r="Z20" s="27">
        <f t="shared" si="7"/>
        <v>159.96760563380283</v>
      </c>
      <c r="AA20" s="27">
        <f t="shared" si="8"/>
        <v>23.144170935336522</v>
      </c>
    </row>
    <row r="21" spans="1:32" x14ac:dyDescent="0.25">
      <c r="A21" s="1">
        <f>24*3-7.3</f>
        <v>64.7</v>
      </c>
      <c r="C21">
        <v>10.07</v>
      </c>
      <c r="D21" s="20" t="s">
        <v>32</v>
      </c>
      <c r="K21">
        <f>0.771*20</f>
        <v>15.42</v>
      </c>
      <c r="M21">
        <f>0.626*20</f>
        <v>12.52</v>
      </c>
      <c r="O21">
        <f>0.634*20</f>
        <v>12.68</v>
      </c>
      <c r="Q21" s="26">
        <f t="shared" si="1"/>
        <v>110.7774647887324</v>
      </c>
      <c r="R21" s="26"/>
      <c r="S21" s="26">
        <f t="shared" si="2"/>
        <v>90.354929577464787</v>
      </c>
      <c r="T21" s="26"/>
      <c r="U21" s="26">
        <f t="shared" si="3"/>
        <v>91.481690140845075</v>
      </c>
      <c r="V21" s="26"/>
      <c r="W21" s="26">
        <f t="shared" si="4"/>
        <v>110.7774647887324</v>
      </c>
      <c r="X21" s="26">
        <f t="shared" si="5"/>
        <v>90.354929577464787</v>
      </c>
      <c r="Y21" s="26">
        <f t="shared" si="6"/>
        <v>91.481690140845075</v>
      </c>
      <c r="Z21" s="27">
        <f t="shared" si="7"/>
        <v>97.538028169014083</v>
      </c>
      <c r="AA21" s="27">
        <f t="shared" si="8"/>
        <v>11.479521281283946</v>
      </c>
    </row>
    <row r="22" spans="1:32" x14ac:dyDescent="0.25">
      <c r="A22" s="1">
        <f>A21+46</f>
        <v>110.7</v>
      </c>
      <c r="C22">
        <v>12.07</v>
      </c>
      <c r="D22" s="20" t="s">
        <v>33</v>
      </c>
      <c r="K22">
        <f>0.049*20</f>
        <v>0.98</v>
      </c>
      <c r="M22">
        <f>0.021*20</f>
        <v>0.42000000000000004</v>
      </c>
      <c r="O22">
        <f>0.021*20</f>
        <v>0.42000000000000004</v>
      </c>
      <c r="Q22" s="26">
        <f t="shared" si="1"/>
        <v>9.087323943661973</v>
      </c>
      <c r="R22" s="26"/>
      <c r="S22" s="26">
        <f t="shared" si="2"/>
        <v>5.1436619718309871</v>
      </c>
      <c r="T22" s="26"/>
      <c r="U22" s="26">
        <f t="shared" si="3"/>
        <v>5.1436619718309871</v>
      </c>
      <c r="V22" s="26"/>
      <c r="W22" s="26">
        <f t="shared" si="4"/>
        <v>9.087323943661973</v>
      </c>
      <c r="X22" s="26">
        <f t="shared" si="5"/>
        <v>5.1436619718309871</v>
      </c>
      <c r="Y22" s="26">
        <f t="shared" si="6"/>
        <v>5.1436619718309871</v>
      </c>
      <c r="Z22" s="27">
        <f t="shared" si="7"/>
        <v>6.4582159624413151</v>
      </c>
      <c r="AA22" s="27">
        <f t="shared" si="8"/>
        <v>2.2768743010295105</v>
      </c>
    </row>
    <row r="23" spans="1:32" x14ac:dyDescent="0.25">
      <c r="A23" s="1">
        <f>6*24-4</f>
        <v>140</v>
      </c>
      <c r="C23">
        <v>13.07</v>
      </c>
      <c r="D23">
        <v>1600</v>
      </c>
      <c r="K23">
        <v>0</v>
      </c>
      <c r="M23">
        <v>0</v>
      </c>
      <c r="O23">
        <v>0</v>
      </c>
      <c r="Q23" s="26">
        <v>0</v>
      </c>
      <c r="R23" s="26"/>
      <c r="S23" s="26">
        <v>0</v>
      </c>
      <c r="T23" s="26"/>
      <c r="U23" s="26">
        <v>0</v>
      </c>
      <c r="V23" s="26"/>
      <c r="W23" s="26">
        <f t="shared" si="4"/>
        <v>0</v>
      </c>
      <c r="X23" s="26">
        <f t="shared" si="5"/>
        <v>0</v>
      </c>
      <c r="Y23" s="26">
        <f t="shared" si="6"/>
        <v>0</v>
      </c>
      <c r="Z23" s="27">
        <f t="shared" si="7"/>
        <v>0</v>
      </c>
      <c r="AA23" s="27">
        <f t="shared" si="8"/>
        <v>0</v>
      </c>
    </row>
    <row r="24" spans="1:32" x14ac:dyDescent="0.25">
      <c r="A24" s="1">
        <v>0</v>
      </c>
      <c r="B24" s="1" t="s">
        <v>34</v>
      </c>
      <c r="C24">
        <v>13.07</v>
      </c>
      <c r="D24">
        <v>1700</v>
      </c>
      <c r="K24">
        <f>0.971*40</f>
        <v>38.839999999999996</v>
      </c>
      <c r="M24">
        <f>0.989*40</f>
        <v>39.56</v>
      </c>
      <c r="O24">
        <f>0.986*40</f>
        <v>39.44</v>
      </c>
      <c r="Q24" s="26">
        <f t="shared" si="1"/>
        <v>275.70704225352114</v>
      </c>
      <c r="R24" s="26"/>
      <c r="S24" s="26">
        <f t="shared" si="2"/>
        <v>280.77746478873246</v>
      </c>
      <c r="T24" s="26"/>
      <c r="U24" s="26">
        <f t="shared" si="3"/>
        <v>279.93239436619723</v>
      </c>
      <c r="V24" s="26"/>
      <c r="W24" s="26">
        <f t="shared" si="4"/>
        <v>275.70704225352114</v>
      </c>
      <c r="X24" s="26">
        <f t="shared" si="5"/>
        <v>280.77746478873246</v>
      </c>
      <c r="Y24" s="26">
        <f t="shared" si="6"/>
        <v>279.93239436619723</v>
      </c>
      <c r="Z24" s="27">
        <f t="shared" si="7"/>
        <v>278.805633802817</v>
      </c>
      <c r="AA24" s="27">
        <f t="shared" si="8"/>
        <v>2.7165213411248028</v>
      </c>
    </row>
    <row r="25" spans="1:32" s="34" customFormat="1" x14ac:dyDescent="0.25">
      <c r="A25" s="39">
        <f>23.5</f>
        <v>23.5</v>
      </c>
      <c r="B25" s="39"/>
      <c r="C25" s="34">
        <v>14.07</v>
      </c>
      <c r="D25" s="34" t="s">
        <v>35</v>
      </c>
      <c r="K25" s="34">
        <f>0.906*40</f>
        <v>36.24</v>
      </c>
      <c r="M25" s="34">
        <f>40*0.96</f>
        <v>38.4</v>
      </c>
      <c r="O25" s="34">
        <f>0.925*40</f>
        <v>37</v>
      </c>
      <c r="Q25" s="35">
        <f t="shared" si="1"/>
        <v>257.3971830985916</v>
      </c>
      <c r="R25" s="35"/>
      <c r="S25" s="35">
        <f t="shared" si="2"/>
        <v>272.60845070422539</v>
      </c>
      <c r="T25" s="35"/>
      <c r="U25" s="35">
        <f t="shared" si="3"/>
        <v>262.74929577464792</v>
      </c>
      <c r="V25" s="35"/>
      <c r="W25" s="35">
        <f t="shared" si="4"/>
        <v>257.3971830985916</v>
      </c>
      <c r="X25" s="35">
        <f t="shared" si="5"/>
        <v>272.60845070422539</v>
      </c>
      <c r="Y25" s="35">
        <f t="shared" si="6"/>
        <v>262.74929577464792</v>
      </c>
      <c r="Z25" s="35">
        <f t="shared" si="7"/>
        <v>264.2516431924883</v>
      </c>
      <c r="AA25" s="35">
        <f t="shared" si="8"/>
        <v>7.7161163395499521</v>
      </c>
      <c r="AB25">
        <f>(W24-W25)/44</f>
        <v>0.41613316261203503</v>
      </c>
      <c r="AC25">
        <f>(X24-X25)/44</f>
        <v>0.18565941101152428</v>
      </c>
      <c r="AD25">
        <f>(Y24-Y25)/44</f>
        <v>0.39052496798975705</v>
      </c>
      <c r="AE25">
        <f>AVERAGE(AB25:AD25,AB30:AD30)</f>
        <v>0.33077251387110546</v>
      </c>
      <c r="AF25">
        <f>STDEV(AB25:AD25,AB30:AD30)</f>
        <v>0.12632222438709942</v>
      </c>
    </row>
    <row r="26" spans="1:32" x14ac:dyDescent="0.25">
      <c r="A26" s="1">
        <f>96-5.5</f>
        <v>90.5</v>
      </c>
      <c r="C26" s="19">
        <v>42933</v>
      </c>
      <c r="D26" s="20" t="s">
        <v>36</v>
      </c>
      <c r="K26">
        <f>0.485*40</f>
        <v>19.399999999999999</v>
      </c>
      <c r="M26">
        <f>0.278*40</f>
        <v>11.120000000000001</v>
      </c>
      <c r="O26">
        <f>0.276*40</f>
        <v>11.040000000000001</v>
      </c>
      <c r="Q26" s="26">
        <f t="shared" si="1"/>
        <v>138.80563380281691</v>
      </c>
      <c r="R26" s="26"/>
      <c r="S26" s="26">
        <f t="shared" si="2"/>
        <v>80.49577464788733</v>
      </c>
      <c r="T26" s="26"/>
      <c r="U26" s="26">
        <f t="shared" si="3"/>
        <v>79.932394366197187</v>
      </c>
      <c r="V26" s="26"/>
      <c r="W26" s="26">
        <f t="shared" si="4"/>
        <v>138.80563380281691</v>
      </c>
      <c r="X26" s="26">
        <f t="shared" si="5"/>
        <v>80.49577464788733</v>
      </c>
      <c r="Y26" s="26">
        <f t="shared" si="6"/>
        <v>79.932394366197187</v>
      </c>
      <c r="Z26" s="27">
        <f t="shared" si="7"/>
        <v>99.744600938967139</v>
      </c>
      <c r="AA26" s="27">
        <f>STDEV(Q26:V26)</f>
        <v>33.829019578292773</v>
      </c>
    </row>
    <row r="27" spans="1:32" x14ac:dyDescent="0.25">
      <c r="A27" s="1">
        <f>A26+24</f>
        <v>114.5</v>
      </c>
      <c r="C27">
        <v>18.07</v>
      </c>
      <c r="D27" s="20" t="s">
        <v>36</v>
      </c>
      <c r="K27">
        <f>0.369*40</f>
        <v>14.76</v>
      </c>
      <c r="M27">
        <f>0.208*40</f>
        <v>8.32</v>
      </c>
      <c r="O27">
        <f>0.21*40</f>
        <v>8.4</v>
      </c>
      <c r="Q27" s="26">
        <f t="shared" si="1"/>
        <v>106.12957746478874</v>
      </c>
      <c r="R27" s="26"/>
      <c r="S27" s="26">
        <f t="shared" si="2"/>
        <v>60.777464788732402</v>
      </c>
      <c r="T27" s="26"/>
      <c r="U27" s="26">
        <f t="shared" si="3"/>
        <v>61.340845070422539</v>
      </c>
      <c r="V27" s="26"/>
      <c r="W27" s="26">
        <f t="shared" si="4"/>
        <v>106.12957746478874</v>
      </c>
      <c r="X27" s="26">
        <f t="shared" si="5"/>
        <v>60.777464788732402</v>
      </c>
      <c r="Y27" s="26">
        <f t="shared" si="6"/>
        <v>61.340845070422539</v>
      </c>
      <c r="Z27" s="27">
        <f t="shared" si="7"/>
        <v>76.082629107981219</v>
      </c>
      <c r="AA27" s="27">
        <f>STDEV(Q27:V27)</f>
        <v>26.022945231140593</v>
      </c>
    </row>
    <row r="28" spans="1:32" x14ac:dyDescent="0.25">
      <c r="A28" s="1">
        <f>7*24</f>
        <v>168</v>
      </c>
      <c r="C28">
        <v>21.07</v>
      </c>
      <c r="D28" t="s">
        <v>39</v>
      </c>
      <c r="K28">
        <v>2.004</v>
      </c>
      <c r="M28">
        <f>0.093*2</f>
        <v>0.186</v>
      </c>
      <c r="O28">
        <v>0</v>
      </c>
      <c r="Q28" s="26">
        <f t="shared" si="1"/>
        <v>16.298591549295775</v>
      </c>
      <c r="R28" s="26"/>
      <c r="S28" s="26">
        <f t="shared" si="2"/>
        <v>3.4957746478873242</v>
      </c>
      <c r="T28" s="26"/>
      <c r="U28" s="26">
        <v>0</v>
      </c>
      <c r="V28" s="26"/>
      <c r="W28" s="26">
        <f t="shared" si="4"/>
        <v>16.298591549295775</v>
      </c>
      <c r="X28" s="26">
        <f t="shared" si="5"/>
        <v>3.4957746478873242</v>
      </c>
      <c r="Y28" s="26">
        <f t="shared" si="6"/>
        <v>0</v>
      </c>
      <c r="Z28" s="27">
        <f t="shared" si="7"/>
        <v>6.5981220657276998</v>
      </c>
      <c r="AA28" s="27">
        <f t="shared" si="8"/>
        <v>8.5807599458573343</v>
      </c>
    </row>
    <row r="29" spans="1:32" x14ac:dyDescent="0.25">
      <c r="C29">
        <v>25.07</v>
      </c>
      <c r="D29" t="s">
        <v>40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3"/>
  <sheetViews>
    <sheetView workbookViewId="0">
      <selection activeCell="A2" sqref="A2"/>
    </sheetView>
  </sheetViews>
  <sheetFormatPr defaultRowHeight="15" x14ac:dyDescent="0.25"/>
  <sheetData>
    <row r="1" spans="1:38" ht="26.25" x14ac:dyDescent="0.4">
      <c r="B1" t="s">
        <v>94</v>
      </c>
      <c r="C1" s="1"/>
      <c r="D1" s="2"/>
      <c r="F1">
        <f>120/24</f>
        <v>5</v>
      </c>
      <c r="G1" s="2"/>
      <c r="L1" s="3"/>
      <c r="M1" s="3"/>
      <c r="N1" s="4"/>
      <c r="O1" s="30"/>
      <c r="P1" s="3"/>
      <c r="Q1" s="3"/>
      <c r="R1" s="3"/>
      <c r="S1" s="3"/>
      <c r="Z1" s="5">
        <v>54.1</v>
      </c>
      <c r="AB1" s="5">
        <v>54.2</v>
      </c>
      <c r="AC1" s="6"/>
      <c r="AD1" s="5">
        <v>54.3</v>
      </c>
    </row>
    <row r="2" spans="1:38" x14ac:dyDescent="0.25">
      <c r="A2" t="s">
        <v>107</v>
      </c>
      <c r="C2" s="2"/>
      <c r="F2" s="2"/>
      <c r="G2" s="2"/>
      <c r="H2" s="2"/>
      <c r="I2" s="7"/>
      <c r="L2" s="8"/>
      <c r="M2" s="3"/>
      <c r="N2" s="8"/>
      <c r="O2" s="9"/>
      <c r="P2" s="8"/>
      <c r="Q2" s="3"/>
      <c r="R2" s="8"/>
      <c r="S2" s="3"/>
    </row>
    <row r="3" spans="1:38" ht="18.75" x14ac:dyDescent="0.3">
      <c r="C3" s="5"/>
      <c r="D3" s="5"/>
      <c r="E3" s="5"/>
      <c r="F3" s="5"/>
      <c r="G3" s="5"/>
      <c r="H3" s="5"/>
      <c r="I3" s="5" t="s">
        <v>103</v>
      </c>
      <c r="J3" s="5"/>
      <c r="K3" s="5"/>
      <c r="L3" s="5">
        <v>54.1</v>
      </c>
      <c r="N3" s="5">
        <v>54.2</v>
      </c>
      <c r="O3" s="6"/>
      <c r="P3" s="5">
        <v>54.3</v>
      </c>
      <c r="Q3" s="10"/>
      <c r="R3" s="5">
        <v>54.4</v>
      </c>
      <c r="S3" s="10"/>
      <c r="T3" t="s">
        <v>0</v>
      </c>
      <c r="V3" t="s">
        <v>1</v>
      </c>
      <c r="X3" t="s">
        <v>2</v>
      </c>
      <c r="Z3" s="1" t="s">
        <v>0</v>
      </c>
      <c r="AA3" s="1" t="s">
        <v>1</v>
      </c>
      <c r="AB3" s="1" t="s">
        <v>2</v>
      </c>
      <c r="AC3" s="11"/>
      <c r="AD3" s="11"/>
    </row>
    <row r="4" spans="1:38" ht="15.75" x14ac:dyDescent="0.25">
      <c r="A4" t="s">
        <v>3</v>
      </c>
      <c r="B4" t="s">
        <v>4</v>
      </c>
      <c r="C4" s="12" t="s">
        <v>5</v>
      </c>
      <c r="D4" s="12"/>
      <c r="E4" s="12"/>
      <c r="F4" s="12"/>
      <c r="G4" s="12"/>
      <c r="H4" s="12"/>
      <c r="I4" s="13"/>
      <c r="J4" s="13"/>
      <c r="K4" s="13"/>
      <c r="L4" s="14" t="s">
        <v>6</v>
      </c>
      <c r="M4" s="14"/>
      <c r="N4" s="15" t="s">
        <v>6</v>
      </c>
      <c r="O4" s="15"/>
      <c r="P4" s="14" t="s">
        <v>6</v>
      </c>
      <c r="Q4" s="14"/>
      <c r="R4" s="14" t="s">
        <v>6</v>
      </c>
      <c r="S4" s="14"/>
      <c r="T4" s="16" t="s">
        <v>7</v>
      </c>
      <c r="U4" s="17"/>
      <c r="V4" s="18"/>
      <c r="W4" s="18"/>
      <c r="X4" s="18"/>
      <c r="Y4" s="18"/>
      <c r="Z4" t="s">
        <v>8</v>
      </c>
      <c r="AA4" t="s">
        <v>9</v>
      </c>
      <c r="AB4" t="s">
        <v>10</v>
      </c>
      <c r="AC4" s="11" t="s">
        <v>11</v>
      </c>
      <c r="AD4" s="11" t="s">
        <v>12</v>
      </c>
      <c r="AE4" s="11" t="s">
        <v>11</v>
      </c>
    </row>
    <row r="5" spans="1:38" x14ac:dyDescent="0.25">
      <c r="A5">
        <v>0</v>
      </c>
      <c r="C5" s="19">
        <f>0.74*20</f>
        <v>14.8</v>
      </c>
      <c r="D5" s="19">
        <f>0.74*20</f>
        <v>14.8</v>
      </c>
      <c r="E5" s="19">
        <f>0.74*20</f>
        <v>14.8</v>
      </c>
      <c r="H5">
        <f>(C5+0.3104)/0.142</f>
        <v>106.41126760563381</v>
      </c>
      <c r="I5">
        <f>(D5+0.3104)/0.142</f>
        <v>106.41126760563381</v>
      </c>
      <c r="J5">
        <f>(E5+0.3104)/0.142</f>
        <v>106.41126760563381</v>
      </c>
    </row>
    <row r="6" spans="1:38" x14ac:dyDescent="0.25">
      <c r="A6">
        <v>24</v>
      </c>
      <c r="T6" s="28"/>
      <c r="U6" s="28"/>
      <c r="V6" s="28"/>
      <c r="W6" s="28"/>
      <c r="X6" s="26"/>
      <c r="Y6" s="26"/>
      <c r="Z6" s="26"/>
      <c r="AA6" s="26"/>
      <c r="AB6" s="26"/>
      <c r="AC6" s="27"/>
      <c r="AD6" s="27"/>
      <c r="AE6" s="28"/>
      <c r="AF6" s="28"/>
    </row>
    <row r="7" spans="1:38" x14ac:dyDescent="0.25">
      <c r="A7">
        <f>40.75</f>
        <v>40.75</v>
      </c>
      <c r="C7">
        <f>0.718*20</f>
        <v>14.36</v>
      </c>
      <c r="D7">
        <f>0.443*20</f>
        <v>8.86</v>
      </c>
      <c r="E7">
        <f>0.734*20</f>
        <v>14.68</v>
      </c>
      <c r="H7">
        <f>(C7+0.3104)/0.142</f>
        <v>103.31267605633803</v>
      </c>
      <c r="I7">
        <f>(D7+0.3104)/0.142</f>
        <v>64.580281690140851</v>
      </c>
      <c r="J7">
        <f>(E7+0.3104)/0.142</f>
        <v>105.56619718309859</v>
      </c>
      <c r="L7">
        <f>(H5-H7)/40.75</f>
        <v>7.6039056424436216E-2</v>
      </c>
      <c r="N7">
        <f>(J5-J7)/40.75</f>
        <v>2.0737924479391791E-2</v>
      </c>
      <c r="O7" s="1">
        <f>AVERAGE(L7:N7)</f>
        <v>4.8388490451914005E-2</v>
      </c>
      <c r="P7" s="1">
        <f>STDEV(L7:N7)</f>
        <v>3.9103805405632915E-2</v>
      </c>
      <c r="T7" s="28"/>
      <c r="U7" s="28"/>
      <c r="V7" s="28"/>
      <c r="W7" s="28"/>
      <c r="X7" s="26"/>
      <c r="Y7" s="26"/>
      <c r="Z7" s="26"/>
      <c r="AA7" s="26"/>
      <c r="AC7" s="27"/>
      <c r="AD7" s="27"/>
      <c r="AE7" s="28"/>
      <c r="AF7" s="28"/>
    </row>
    <row r="8" spans="1:38" x14ac:dyDescent="0.25">
      <c r="A8">
        <v>110</v>
      </c>
      <c r="C8">
        <f>0.708*20</f>
        <v>14.16</v>
      </c>
      <c r="E8">
        <f>0.72*20</f>
        <v>14.399999999999999</v>
      </c>
      <c r="H8">
        <f>(C8+0.3104)/0.142</f>
        <v>101.90422535211269</v>
      </c>
      <c r="J8">
        <f>(E8+0.3104)/0.142</f>
        <v>103.59436619718309</v>
      </c>
      <c r="L8">
        <f>(H5-H8)/110</f>
        <v>4.097311139564655E-2</v>
      </c>
      <c r="N8">
        <f>(J5-J8)/110</f>
        <v>2.5608194622279257E-2</v>
      </c>
      <c r="O8" s="1">
        <f>AVERAGE(L8:N9)</f>
        <v>3.9052496798975739E-2</v>
      </c>
      <c r="P8" s="1">
        <f>STDEV(L8:N9)</f>
        <v>1.1088673543974853E-2</v>
      </c>
      <c r="T8" s="28"/>
      <c r="U8" s="28"/>
      <c r="V8" s="28"/>
      <c r="W8" s="28"/>
      <c r="X8" s="26"/>
      <c r="Y8" s="26"/>
      <c r="Z8" s="26"/>
      <c r="AA8" s="26"/>
      <c r="AC8" s="27"/>
      <c r="AD8" s="27"/>
      <c r="AE8" s="28"/>
      <c r="AF8" s="28"/>
      <c r="AJ8">
        <f>(W6-W8)/49</f>
        <v>0</v>
      </c>
      <c r="AK8" s="1">
        <f>AVERAGE(AG8:AJ8)</f>
        <v>0</v>
      </c>
      <c r="AL8" s="1" t="e">
        <f>STDEV(AG8:AJ8)</f>
        <v>#DIV/0!</v>
      </c>
    </row>
    <row r="9" spans="1:38" x14ac:dyDescent="0.25">
      <c r="C9">
        <f>0.699*20</f>
        <v>13.979999999999999</v>
      </c>
      <c r="E9">
        <f>0.711*20</f>
        <v>14.219999999999999</v>
      </c>
      <c r="H9">
        <f>(C9+0.3104)/0.142</f>
        <v>100.63661971830986</v>
      </c>
      <c r="I9">
        <v>0</v>
      </c>
      <c r="J9">
        <f>(E9+0.3104)/0.142</f>
        <v>102.32676056338028</v>
      </c>
      <c r="L9">
        <f>(H5-H9)/110</f>
        <v>5.2496798975672283E-2</v>
      </c>
      <c r="N9">
        <f>(J5-J9)/110</f>
        <v>3.7131882202304858E-2</v>
      </c>
    </row>
    <row r="11" spans="1:38" x14ac:dyDescent="0.25">
      <c r="A11" t="s">
        <v>101</v>
      </c>
    </row>
    <row r="12" spans="1:38" x14ac:dyDescent="0.25">
      <c r="A12">
        <v>0</v>
      </c>
    </row>
    <row r="13" spans="1:38" x14ac:dyDescent="0.25">
      <c r="A13">
        <v>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D35" sqref="D35"/>
    </sheetView>
  </sheetViews>
  <sheetFormatPr defaultRowHeight="15" x14ac:dyDescent="0.25"/>
  <sheetData>
    <row r="1" spans="1:16" ht="26.25" x14ac:dyDescent="0.4">
      <c r="B1" t="s">
        <v>94</v>
      </c>
      <c r="C1" s="1"/>
      <c r="D1" s="2"/>
      <c r="F1">
        <f>120/24</f>
        <v>5</v>
      </c>
      <c r="G1" s="2"/>
      <c r="L1" s="3"/>
      <c r="M1" s="3"/>
      <c r="N1" s="4"/>
      <c r="O1" s="30"/>
      <c r="P1" s="3"/>
    </row>
    <row r="2" spans="1:16" x14ac:dyDescent="0.25">
      <c r="A2" t="s">
        <v>106</v>
      </c>
      <c r="C2" s="2"/>
      <c r="F2" s="2"/>
      <c r="G2" s="2"/>
      <c r="H2" s="2"/>
      <c r="I2" s="7"/>
      <c r="L2" s="8"/>
      <c r="M2" s="3"/>
      <c r="N2" s="8"/>
      <c r="O2" s="9"/>
      <c r="P2" s="8"/>
    </row>
    <row r="3" spans="1:16" ht="18.75" x14ac:dyDescent="0.3">
      <c r="C3" s="5"/>
      <c r="D3" s="5"/>
      <c r="E3" s="5"/>
      <c r="F3" s="5"/>
      <c r="G3" s="5"/>
      <c r="H3" s="5"/>
      <c r="I3" s="5" t="s">
        <v>103</v>
      </c>
      <c r="J3" s="5"/>
      <c r="K3" s="5"/>
      <c r="L3" s="5">
        <v>54.1</v>
      </c>
      <c r="N3" s="5">
        <v>54.2</v>
      </c>
      <c r="O3" s="6"/>
      <c r="P3" s="5">
        <v>54.3</v>
      </c>
    </row>
    <row r="4" spans="1:16" ht="15.75" x14ac:dyDescent="0.25">
      <c r="A4" t="s">
        <v>3</v>
      </c>
      <c r="B4" t="s">
        <v>4</v>
      </c>
      <c r="C4" s="12" t="s">
        <v>5</v>
      </c>
      <c r="D4" s="12"/>
      <c r="E4" s="12"/>
      <c r="F4" s="12"/>
      <c r="G4" s="12"/>
      <c r="H4" s="12"/>
      <c r="I4" s="13"/>
      <c r="J4" s="13"/>
      <c r="K4" s="13"/>
      <c r="L4" s="14" t="s">
        <v>6</v>
      </c>
      <c r="M4" s="14"/>
      <c r="N4" s="15" t="s">
        <v>6</v>
      </c>
      <c r="O4" s="15"/>
      <c r="P4" s="14" t="s">
        <v>6</v>
      </c>
    </row>
    <row r="5" spans="1:16" x14ac:dyDescent="0.25">
      <c r="A5">
        <v>0</v>
      </c>
      <c r="C5" s="19">
        <f>0.748*20</f>
        <v>14.96</v>
      </c>
      <c r="D5" s="19">
        <f>0.748*20</f>
        <v>14.96</v>
      </c>
      <c r="E5" s="19">
        <f>0.748*20</f>
        <v>14.96</v>
      </c>
      <c r="H5">
        <f>(C5+0.3104)/0.142</f>
        <v>107.5380281690141</v>
      </c>
      <c r="I5">
        <f>(D5+0.3104)/0.142</f>
        <v>107.5380281690141</v>
      </c>
      <c r="J5">
        <f>(E5+0.3104)/0.142</f>
        <v>107.5380281690141</v>
      </c>
    </row>
    <row r="6" spans="1:16" x14ac:dyDescent="0.25">
      <c r="A6">
        <v>24</v>
      </c>
    </row>
    <row r="7" spans="1:16" x14ac:dyDescent="0.25">
      <c r="A7">
        <f>40.75</f>
        <v>40.75</v>
      </c>
      <c r="C7">
        <f>0.677*20</f>
        <v>13.540000000000001</v>
      </c>
      <c r="D7">
        <f>0.659*20</f>
        <v>13.18</v>
      </c>
      <c r="H7">
        <f t="shared" ref="H7:J9" si="0">(C7+0.3104)/0.142</f>
        <v>97.538028169014098</v>
      </c>
      <c r="I7">
        <f t="shared" si="0"/>
        <v>95.002816901408451</v>
      </c>
      <c r="J7">
        <f t="shared" si="0"/>
        <v>2.1859154929577467</v>
      </c>
      <c r="L7">
        <f>(H5-H7)/40.75</f>
        <v>0.24539877300613497</v>
      </c>
      <c r="M7">
        <f>(I5-I7)/40.75</f>
        <v>0.30761254644431035</v>
      </c>
      <c r="O7" s="1">
        <f>AVERAGE(L7:N7)</f>
        <v>0.27650565972522267</v>
      </c>
      <c r="P7" s="1">
        <f>STDEV(L7:N7)</f>
        <v>4.399178108133725E-2</v>
      </c>
    </row>
    <row r="8" spans="1:16" x14ac:dyDescent="0.25">
      <c r="A8">
        <v>110</v>
      </c>
      <c r="C8">
        <f>0.59*20</f>
        <v>11.799999999999999</v>
      </c>
      <c r="D8">
        <f>0.619*20</f>
        <v>12.379999999999999</v>
      </c>
      <c r="H8">
        <f t="shared" si="0"/>
        <v>85.284507042253523</v>
      </c>
      <c r="I8">
        <f t="shared" si="0"/>
        <v>89.369014084507043</v>
      </c>
      <c r="J8">
        <f t="shared" si="0"/>
        <v>2.1859154929577467</v>
      </c>
      <c r="L8">
        <f>(H5-H8)/110</f>
        <v>0.20230473751600522</v>
      </c>
      <c r="M8">
        <f>(I5-I8)/110</f>
        <v>0.16517285531370049</v>
      </c>
      <c r="O8" s="1">
        <f>AVERAGE(L8:N10)</f>
        <v>0.27128681177976965</v>
      </c>
      <c r="P8" s="1">
        <f>STDEV(L8:N10)</f>
        <v>0.10222232836065476</v>
      </c>
    </row>
    <row r="9" spans="1:16" x14ac:dyDescent="0.25">
      <c r="A9">
        <v>216</v>
      </c>
      <c r="C9">
        <v>9.35</v>
      </c>
      <c r="D9">
        <v>9.36</v>
      </c>
      <c r="H9">
        <f t="shared" si="0"/>
        <v>68.030985915492963</v>
      </c>
      <c r="I9">
        <f t="shared" si="0"/>
        <v>68.101408450704227</v>
      </c>
      <c r="J9">
        <f t="shared" si="0"/>
        <v>2.1859154929577467</v>
      </c>
      <c r="L9">
        <f>(H5-H9)/110</f>
        <v>0.35915492957746487</v>
      </c>
      <c r="M9">
        <f>(I5-I9)/110</f>
        <v>0.35851472471190793</v>
      </c>
      <c r="O9" s="1">
        <f>AVERAGE(L9:N11)</f>
        <v>0.3588348271446864</v>
      </c>
      <c r="P9" s="1">
        <f>STDEV(L9:N11)</f>
        <v>4.5269320178393212E-4</v>
      </c>
    </row>
    <row r="10" spans="1:16" x14ac:dyDescent="0.25">
      <c r="A10" t="s">
        <v>95</v>
      </c>
    </row>
    <row r="11" spans="1:16" x14ac:dyDescent="0.25">
      <c r="A11">
        <v>0</v>
      </c>
      <c r="B11" t="s">
        <v>96</v>
      </c>
      <c r="C11">
        <v>5.52</v>
      </c>
      <c r="D11">
        <v>5.09</v>
      </c>
      <c r="H11">
        <f>(C11-0.1087)/0.1228</f>
        <v>44.065960912052113</v>
      </c>
      <c r="I11">
        <f>(D11-0.1087)/0.1228</f>
        <v>40.564332247557005</v>
      </c>
    </row>
    <row r="12" spans="1:16" x14ac:dyDescent="0.25">
      <c r="A12">
        <v>24</v>
      </c>
      <c r="B12" t="s">
        <v>97</v>
      </c>
    </row>
    <row r="13" spans="1:16" x14ac:dyDescent="0.25">
      <c r="A13">
        <v>40.75</v>
      </c>
      <c r="B13" t="s">
        <v>99</v>
      </c>
      <c r="C13">
        <v>4.92</v>
      </c>
      <c r="D13">
        <v>5.01</v>
      </c>
      <c r="H13">
        <f>(C13-0.1087)/0.1228</f>
        <v>39.1799674267101</v>
      </c>
      <c r="I13">
        <f>(D13-0.1087)/0.1228</f>
        <v>39.912866449511398</v>
      </c>
      <c r="L13">
        <f>(H11-H13)/40.75</f>
        <v>0.11990168062188988</v>
      </c>
      <c r="M13">
        <f>(I11-I13)/40.75</f>
        <v>1.5986890749585436E-2</v>
      </c>
      <c r="O13" s="1">
        <f>AVERAGE(L13:N13)</f>
        <v>6.7944285685737654E-2</v>
      </c>
      <c r="P13" s="1">
        <f>STDEV(L13:N13)</f>
        <v>7.3478852584281648E-2</v>
      </c>
    </row>
    <row r="14" spans="1:16" x14ac:dyDescent="0.25">
      <c r="A14">
        <v>110</v>
      </c>
      <c r="B14" t="s">
        <v>98</v>
      </c>
      <c r="C14">
        <v>5.1100000000000003</v>
      </c>
      <c r="H14">
        <f>(C14-0.1087)/0.1228</f>
        <v>40.727198697068403</v>
      </c>
      <c r="L14">
        <f>(H11-H14)/110</f>
        <v>3.0352383772579181E-2</v>
      </c>
      <c r="O14" s="1">
        <f>AVERAGE(L14:N15)</f>
        <v>3.1983790127112582E-2</v>
      </c>
      <c r="P14" s="1">
        <f>STDEV(L14:N15)</f>
        <v>1.1772263699851708E-2</v>
      </c>
    </row>
    <row r="15" spans="1:16" x14ac:dyDescent="0.25">
      <c r="A15">
        <v>216</v>
      </c>
      <c r="B15" t="s">
        <v>100</v>
      </c>
      <c r="C15">
        <v>4.34</v>
      </c>
      <c r="D15">
        <v>4.53</v>
      </c>
      <c r="H15">
        <f>(C15-0.1087)/0.1228</f>
        <v>34.456840390879478</v>
      </c>
      <c r="I15">
        <f>(D15-0.1087)/0.1228</f>
        <v>36.004071661237788</v>
      </c>
      <c r="L15">
        <f>(H11-H15)/216</f>
        <v>4.4486669079502938E-2</v>
      </c>
      <c r="M15">
        <f>(I11-I15)/216</f>
        <v>2.1112317529255634E-2</v>
      </c>
      <c r="O15" s="1">
        <f>AVERAGE(L15:N15)</f>
        <v>3.2799493304379285E-2</v>
      </c>
      <c r="P15" s="1">
        <f>STDEV(L15:N15)</f>
        <v>1.6528162487018161E-2</v>
      </c>
    </row>
    <row r="16" spans="1:16" x14ac:dyDescent="0.25">
      <c r="A16" t="s">
        <v>51</v>
      </c>
    </row>
    <row r="17" spans="1:16" x14ac:dyDescent="0.25">
      <c r="A17">
        <v>0</v>
      </c>
      <c r="B17" t="s">
        <v>96</v>
      </c>
      <c r="C17">
        <v>4.8099999999999996</v>
      </c>
      <c r="D17">
        <v>4.8499999999999996</v>
      </c>
      <c r="E17">
        <v>4.79</v>
      </c>
      <c r="H17">
        <f>(C17-0.1087)/0.1228</f>
        <v>38.284201954397389</v>
      </c>
      <c r="I17">
        <f>(D17-0.1087)/0.1228</f>
        <v>38.609934853420192</v>
      </c>
      <c r="J17">
        <f>(E17-0.1087)/0.1228</f>
        <v>38.121335504885991</v>
      </c>
    </row>
    <row r="18" spans="1:16" x14ac:dyDescent="0.25">
      <c r="A18">
        <v>24</v>
      </c>
      <c r="B18" t="s">
        <v>97</v>
      </c>
    </row>
    <row r="19" spans="1:16" x14ac:dyDescent="0.25">
      <c r="A19">
        <v>40.75</v>
      </c>
      <c r="B19" t="s">
        <v>99</v>
      </c>
      <c r="C19">
        <v>4.8600000000000003</v>
      </c>
      <c r="D19">
        <v>4.8499999999999996</v>
      </c>
      <c r="E19">
        <v>4.92</v>
      </c>
      <c r="H19">
        <f t="shared" ref="H19:J21" si="1">(C19-0.1087)/0.1228</f>
        <v>38.691368078175898</v>
      </c>
      <c r="I19">
        <f t="shared" si="1"/>
        <v>38.609934853420192</v>
      </c>
      <c r="J19">
        <f t="shared" si="1"/>
        <v>39.1799674267101</v>
      </c>
      <c r="L19">
        <f>(H17-H19)/40.75</f>
        <v>-9.9918067184910277E-3</v>
      </c>
      <c r="M19">
        <f>(I17-I19)/40.75</f>
        <v>0</v>
      </c>
      <c r="N19">
        <f>(J17-J19)/40.75</f>
        <v>-2.5978697468076288E-2</v>
      </c>
      <c r="O19" s="1">
        <f>AVERAGE(L19:N19)</f>
        <v>-1.1990168062189105E-2</v>
      </c>
      <c r="P19" s="1">
        <f>STDEV(L19:N19)</f>
        <v>1.3104131660642318E-2</v>
      </c>
    </row>
    <row r="20" spans="1:16" x14ac:dyDescent="0.25">
      <c r="A20">
        <v>110</v>
      </c>
      <c r="B20" t="s">
        <v>98</v>
      </c>
      <c r="C20">
        <v>4.57</v>
      </c>
      <c r="D20">
        <v>4.8600000000000003</v>
      </c>
      <c r="E20">
        <v>4.72</v>
      </c>
      <c r="H20">
        <f t="shared" si="1"/>
        <v>36.329804560260591</v>
      </c>
      <c r="I20">
        <f t="shared" si="1"/>
        <v>38.691368078175898</v>
      </c>
      <c r="J20">
        <f t="shared" si="1"/>
        <v>37.551302931596091</v>
      </c>
      <c r="L20">
        <f>(H17-H20)/110</f>
        <v>1.7767249037607256E-2</v>
      </c>
      <c r="M20">
        <f>(I17-I20)/110</f>
        <v>-7.403020432336921E-4</v>
      </c>
      <c r="N20">
        <f>(J17-J20)/110</f>
        <v>5.1821143026354573E-3</v>
      </c>
      <c r="O20" s="1">
        <f>AVERAGE(L20:N21)</f>
        <v>2.0226925425079565E-2</v>
      </c>
      <c r="P20" s="1">
        <f>STDEV(L20:N21)</f>
        <v>1.5371351778502899E-2</v>
      </c>
    </row>
    <row r="21" spans="1:16" x14ac:dyDescent="0.25">
      <c r="A21">
        <f>9*24</f>
        <v>216</v>
      </c>
      <c r="B21" s="19">
        <v>42965</v>
      </c>
      <c r="C21">
        <v>3.86</v>
      </c>
      <c r="D21">
        <v>4.05</v>
      </c>
      <c r="E21">
        <v>3.91</v>
      </c>
      <c r="H21">
        <f t="shared" si="1"/>
        <v>30.548045602605864</v>
      </c>
      <c r="I21">
        <f t="shared" si="1"/>
        <v>32.09527687296417</v>
      </c>
      <c r="J21">
        <f t="shared" si="1"/>
        <v>30.955211726384366</v>
      </c>
      <c r="L21">
        <f>(H17-H21)/216</f>
        <v>3.5815538665701502E-2</v>
      </c>
      <c r="M21">
        <f>(I17-I21)/216</f>
        <v>3.0160453613222324E-2</v>
      </c>
      <c r="N21">
        <f>(J17-J21)/216</f>
        <v>3.3176498974544562E-2</v>
      </c>
      <c r="O21" s="1">
        <f>AVERAGE(L21:N22)</f>
        <v>3.30508304178228E-2</v>
      </c>
      <c r="P21" s="1">
        <f>STDEV(L21:N22)</f>
        <v>2.8296362270272047E-3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1"/>
  <sheetViews>
    <sheetView zoomScale="55" zoomScaleNormal="55" workbookViewId="0">
      <selection activeCell="K2" sqref="K2"/>
    </sheetView>
  </sheetViews>
  <sheetFormatPr defaultRowHeight="15" x14ac:dyDescent="0.25"/>
  <cols>
    <col min="4" max="10" width="0" hidden="1" customWidth="1"/>
  </cols>
  <sheetData>
    <row r="1" spans="1:33" ht="18.75" x14ac:dyDescent="0.3">
      <c r="A1" t="s">
        <v>23</v>
      </c>
      <c r="D1" s="2"/>
      <c r="G1" s="2"/>
      <c r="K1" s="2" t="s">
        <v>106</v>
      </c>
      <c r="L1" s="3"/>
      <c r="M1" s="3"/>
      <c r="N1" s="4"/>
      <c r="O1" s="4"/>
      <c r="P1" s="3"/>
      <c r="Q1" s="3"/>
      <c r="X1" s="5">
        <v>49.1</v>
      </c>
      <c r="Z1" s="5">
        <v>49.2</v>
      </c>
      <c r="AA1" s="6"/>
      <c r="AB1" s="5">
        <v>49.3</v>
      </c>
    </row>
    <row r="2" spans="1:33" x14ac:dyDescent="0.25">
      <c r="A2" t="s">
        <v>37</v>
      </c>
      <c r="C2" s="2"/>
      <c r="F2" s="2"/>
      <c r="G2" s="2"/>
      <c r="H2" s="2"/>
      <c r="I2" s="7"/>
      <c r="K2" t="s">
        <v>46</v>
      </c>
      <c r="L2" s="8"/>
      <c r="M2" s="8"/>
      <c r="N2" s="9"/>
      <c r="O2" s="9"/>
      <c r="P2" s="8"/>
      <c r="Q2" s="3"/>
    </row>
    <row r="3" spans="1:33" ht="18.75" x14ac:dyDescent="0.3">
      <c r="C3" s="5" t="s">
        <v>103</v>
      </c>
      <c r="D3" s="5"/>
      <c r="E3" s="5"/>
      <c r="F3" s="5"/>
      <c r="G3" s="5"/>
      <c r="H3" s="5"/>
      <c r="I3" s="5"/>
      <c r="J3" s="5"/>
      <c r="K3" s="5"/>
      <c r="L3" s="5">
        <v>49.1</v>
      </c>
      <c r="N3" s="5">
        <v>49.2</v>
      </c>
      <c r="O3" s="6"/>
      <c r="P3" s="5">
        <v>49.3</v>
      </c>
      <c r="Q3" s="10"/>
      <c r="R3" t="s">
        <v>0</v>
      </c>
      <c r="T3" t="s">
        <v>1</v>
      </c>
      <c r="V3" t="s">
        <v>2</v>
      </c>
      <c r="X3" s="1" t="s">
        <v>0</v>
      </c>
      <c r="Y3" s="1" t="s">
        <v>1</v>
      </c>
      <c r="Z3" s="1" t="s">
        <v>2</v>
      </c>
      <c r="AA3" s="11"/>
      <c r="AB3" s="11"/>
    </row>
    <row r="4" spans="1:33" ht="15.75" x14ac:dyDescent="0.25">
      <c r="A4" t="s">
        <v>3</v>
      </c>
      <c r="B4" t="s">
        <v>4</v>
      </c>
      <c r="C4" s="12" t="s">
        <v>5</v>
      </c>
      <c r="D4" s="12"/>
      <c r="E4" s="12"/>
      <c r="F4" s="12"/>
      <c r="G4" s="12"/>
      <c r="H4" s="12"/>
      <c r="I4" s="13"/>
      <c r="J4" s="13"/>
      <c r="K4" s="13"/>
      <c r="L4" s="14" t="s">
        <v>6</v>
      </c>
      <c r="M4" s="14"/>
      <c r="N4" s="15" t="s">
        <v>6</v>
      </c>
      <c r="O4" s="15"/>
      <c r="P4" s="14" t="s">
        <v>6</v>
      </c>
      <c r="Q4" s="14"/>
      <c r="R4" s="16" t="s">
        <v>7</v>
      </c>
      <c r="S4" s="17"/>
      <c r="T4" s="18"/>
      <c r="U4" s="18"/>
      <c r="V4" s="18"/>
      <c r="W4" s="18"/>
      <c r="X4" t="s">
        <v>8</v>
      </c>
      <c r="Y4" t="s">
        <v>9</v>
      </c>
      <c r="Z4" t="s">
        <v>10</v>
      </c>
      <c r="AA4" s="25" t="s">
        <v>11</v>
      </c>
      <c r="AB4" s="25" t="s">
        <v>12</v>
      </c>
      <c r="AC4" s="11" t="s">
        <v>11</v>
      </c>
    </row>
    <row r="5" spans="1:33" x14ac:dyDescent="0.25">
      <c r="A5">
        <v>0</v>
      </c>
      <c r="C5" s="19" t="s">
        <v>13</v>
      </c>
      <c r="D5" t="s">
        <v>14</v>
      </c>
      <c r="K5" t="s">
        <v>14</v>
      </c>
      <c r="L5">
        <v>8.0500000000000007</v>
      </c>
      <c r="M5">
        <v>8.3800000000000008</v>
      </c>
      <c r="N5">
        <v>8.0500000000000007</v>
      </c>
      <c r="O5">
        <v>8.3800000000000008</v>
      </c>
      <c r="P5">
        <v>8.0500000000000007</v>
      </c>
      <c r="Q5">
        <v>8.3800000000000008</v>
      </c>
      <c r="R5" s="26">
        <f t="shared" ref="R5:W5" si="0">(L5+0.3104)/0.142</f>
        <v>58.876056338028178</v>
      </c>
      <c r="S5" s="26">
        <f>(M5+0.3104)/0.142</f>
        <v>61.20000000000001</v>
      </c>
      <c r="T5" s="26">
        <f>(N5+0.3104)/0.142</f>
        <v>58.876056338028178</v>
      </c>
      <c r="U5" s="26">
        <f t="shared" si="0"/>
        <v>61.20000000000001</v>
      </c>
      <c r="V5" s="26">
        <f t="shared" si="0"/>
        <v>58.876056338028178</v>
      </c>
      <c r="W5" s="26">
        <f t="shared" si="0"/>
        <v>61.20000000000001</v>
      </c>
      <c r="X5" s="26">
        <f>AVERAGE(R5:S5)</f>
        <v>60.038028169014098</v>
      </c>
      <c r="Y5" s="26">
        <f>AVERAGE(T5:U5)</f>
        <v>60.038028169014098</v>
      </c>
      <c r="Z5" s="26">
        <f>AVERAGE(V5:W5)</f>
        <v>60.038028169014098</v>
      </c>
      <c r="AA5" s="27">
        <f>AVERAGE(R5:W5)</f>
        <v>60.038028169014098</v>
      </c>
      <c r="AB5" s="27">
        <f>STDEV(R5:W5)</f>
        <v>1.272876366033133</v>
      </c>
    </row>
    <row r="6" spans="1:33" x14ac:dyDescent="0.25">
      <c r="A6">
        <v>20.5</v>
      </c>
      <c r="C6">
        <v>27.06</v>
      </c>
      <c r="D6" t="s">
        <v>15</v>
      </c>
      <c r="K6" t="s">
        <v>15</v>
      </c>
      <c r="L6">
        <v>7.61</v>
      </c>
      <c r="M6">
        <v>7.61</v>
      </c>
      <c r="N6">
        <v>7.06</v>
      </c>
      <c r="O6">
        <v>6.88</v>
      </c>
      <c r="P6">
        <v>6.03</v>
      </c>
      <c r="Q6">
        <v>6.39</v>
      </c>
      <c r="R6" s="26">
        <f t="shared" ref="R6:R30" si="1">(L6+0.3104)/0.142</f>
        <v>55.777464788732402</v>
      </c>
      <c r="S6" s="26">
        <f>(M6+0.3104)/0.142</f>
        <v>55.777464788732402</v>
      </c>
      <c r="T6" s="26">
        <f t="shared" ref="T6:T30" si="2">(N6+0.3104)/0.142</f>
        <v>51.904225352112682</v>
      </c>
      <c r="U6" s="26">
        <f>(O6+0.3104)/0.142</f>
        <v>50.636619718309866</v>
      </c>
      <c r="V6" s="26">
        <f t="shared" ref="V6:V30" si="3">(P6+0.3104)/0.142</f>
        <v>44.650704225352122</v>
      </c>
      <c r="W6" s="26">
        <f t="shared" ref="W6:W12" si="4">(Q6+0.3104)/0.142</f>
        <v>47.185915492957754</v>
      </c>
      <c r="X6" s="26">
        <f t="shared" ref="X6:X30" si="5">AVERAGE(R6:S6)</f>
        <v>55.777464788732402</v>
      </c>
      <c r="Y6" s="26">
        <f t="shared" ref="Y6:Y30" si="6">AVERAGE(T6:U6)</f>
        <v>51.270422535211274</v>
      </c>
      <c r="Z6" s="26">
        <f t="shared" ref="Z6:Z30" si="7">AVERAGE(V6:W6)</f>
        <v>45.918309859154938</v>
      </c>
      <c r="AA6" s="27">
        <f t="shared" ref="AA6:AA30" si="8">AVERAGE(R6:W6)</f>
        <v>50.988732394366203</v>
      </c>
      <c r="AB6" s="27">
        <f t="shared" ref="AB6:AB30" si="9">STDEV(R6:W6)</f>
        <v>4.5046208284134446</v>
      </c>
    </row>
    <row r="7" spans="1:33" x14ac:dyDescent="0.25">
      <c r="A7">
        <v>47.5</v>
      </c>
      <c r="C7">
        <v>28.06</v>
      </c>
      <c r="D7" t="s">
        <v>16</v>
      </c>
      <c r="K7" t="s">
        <v>16</v>
      </c>
      <c r="L7">
        <v>5.7</v>
      </c>
      <c r="M7">
        <v>6.83</v>
      </c>
      <c r="N7">
        <v>6.04</v>
      </c>
      <c r="O7">
        <v>5.9</v>
      </c>
      <c r="P7">
        <v>5.43</v>
      </c>
      <c r="Q7">
        <v>5.45</v>
      </c>
      <c r="R7" s="26">
        <f t="shared" si="1"/>
        <v>42.32676056338029</v>
      </c>
      <c r="S7" s="26">
        <f>(M7+0.3104)/0.142</f>
        <v>50.284507042253523</v>
      </c>
      <c r="T7" s="26">
        <f t="shared" si="2"/>
        <v>44.721126760563386</v>
      </c>
      <c r="U7" s="26">
        <f>(O7+0.3104)/0.142</f>
        <v>43.735211267605635</v>
      </c>
      <c r="V7" s="26">
        <f t="shared" si="3"/>
        <v>40.425352112676052</v>
      </c>
      <c r="W7" s="26">
        <f t="shared" si="4"/>
        <v>40.566197183098602</v>
      </c>
      <c r="X7" s="26">
        <f t="shared" si="5"/>
        <v>46.305633802816907</v>
      </c>
      <c r="Y7" s="26">
        <f t="shared" si="6"/>
        <v>44.228169014084514</v>
      </c>
      <c r="Z7" s="26">
        <f t="shared" si="7"/>
        <v>40.49577464788733</v>
      </c>
      <c r="AA7" s="27">
        <f t="shared" si="8"/>
        <v>43.676525821596243</v>
      </c>
      <c r="AB7" s="27">
        <f t="shared" si="9"/>
        <v>3.6558498845861518</v>
      </c>
      <c r="AC7">
        <f>(Y5-Y7)/47.5</f>
        <v>0.33283914010378068</v>
      </c>
      <c r="AD7">
        <f>(Z5-Z7)/47.5</f>
        <v>0.4114158636026688</v>
      </c>
      <c r="AE7">
        <f>(AA5-AA7)/47.5</f>
        <v>0.34445268099827059</v>
      </c>
      <c r="AF7">
        <f>AVERAGE(AC7:AE7)</f>
        <v>0.36290256156824002</v>
      </c>
      <c r="AG7">
        <f>STDEV(AC7:AE7)</f>
        <v>4.241313403581231E-2</v>
      </c>
    </row>
    <row r="8" spans="1:33" x14ac:dyDescent="0.25">
      <c r="A8">
        <v>69.5</v>
      </c>
      <c r="C8">
        <v>29.06</v>
      </c>
      <c r="D8" t="s">
        <v>17</v>
      </c>
      <c r="K8" t="s">
        <v>17</v>
      </c>
      <c r="L8">
        <v>5.17</v>
      </c>
      <c r="M8">
        <v>5.43</v>
      </c>
      <c r="N8">
        <v>3.97</v>
      </c>
      <c r="O8">
        <v>3.96</v>
      </c>
      <c r="P8">
        <v>5.24</v>
      </c>
      <c r="Q8">
        <v>5.0999999999999996</v>
      </c>
      <c r="R8" s="26">
        <f t="shared" si="1"/>
        <v>38.594366197183099</v>
      </c>
      <c r="S8" s="26">
        <f>(M8+0.3104)/0.142</f>
        <v>40.425352112676052</v>
      </c>
      <c r="T8" s="26">
        <f t="shared" si="2"/>
        <v>30.143661971830991</v>
      </c>
      <c r="U8" s="26">
        <f>(O8+0.3104)/0.142</f>
        <v>30.073239436619723</v>
      </c>
      <c r="V8" s="26">
        <f t="shared" si="3"/>
        <v>39.087323943661971</v>
      </c>
      <c r="W8" s="26">
        <f t="shared" si="4"/>
        <v>38.10140845070422</v>
      </c>
      <c r="X8" s="26">
        <f t="shared" si="5"/>
        <v>39.509859154929572</v>
      </c>
      <c r="Y8" s="26">
        <f t="shared" si="6"/>
        <v>30.108450704225355</v>
      </c>
      <c r="Z8" s="26">
        <f t="shared" si="7"/>
        <v>38.594366197183092</v>
      </c>
      <c r="AA8" s="27">
        <f t="shared" si="8"/>
        <v>36.07089201877934</v>
      </c>
      <c r="AB8" s="27">
        <f t="shared" si="9"/>
        <v>4.6830544669459186</v>
      </c>
    </row>
    <row r="9" spans="1:33" x14ac:dyDescent="0.25">
      <c r="A9">
        <v>93</v>
      </c>
      <c r="C9">
        <v>30.06</v>
      </c>
      <c r="D9" t="s">
        <v>18</v>
      </c>
      <c r="K9" t="s">
        <v>18</v>
      </c>
      <c r="L9">
        <v>1.1599999999999999</v>
      </c>
      <c r="M9">
        <v>1.19</v>
      </c>
      <c r="N9">
        <v>0.66</v>
      </c>
      <c r="O9">
        <v>0.47</v>
      </c>
      <c r="P9">
        <v>0.33</v>
      </c>
      <c r="Q9">
        <v>0.89</v>
      </c>
      <c r="R9" s="26">
        <f t="shared" si="1"/>
        <v>10.354929577464789</v>
      </c>
      <c r="S9" s="26">
        <f>(M9+0.3104)/0.142</f>
        <v>10.566197183098593</v>
      </c>
      <c r="T9" s="26">
        <f t="shared" si="2"/>
        <v>6.8338028169014091</v>
      </c>
      <c r="U9" s="26">
        <f>(O9+0.3104)/0.142</f>
        <v>5.4957746478873242</v>
      </c>
      <c r="V9" s="26">
        <f t="shared" si="3"/>
        <v>4.5098591549295781</v>
      </c>
      <c r="W9" s="26">
        <f t="shared" si="4"/>
        <v>8.453521126760565</v>
      </c>
      <c r="X9" s="26">
        <f t="shared" si="5"/>
        <v>10.460563380281691</v>
      </c>
      <c r="Y9" s="26">
        <f t="shared" si="6"/>
        <v>6.1647887323943671</v>
      </c>
      <c r="Z9" s="26">
        <f t="shared" si="7"/>
        <v>6.4816901408450711</v>
      </c>
      <c r="AA9" s="27">
        <f t="shared" si="8"/>
        <v>7.7023474178403761</v>
      </c>
      <c r="AB9" s="27">
        <f t="shared" si="9"/>
        <v>2.5146532148287135</v>
      </c>
    </row>
    <row r="10" spans="1:33" x14ac:dyDescent="0.25">
      <c r="A10">
        <f>A9+0.5</f>
        <v>93.5</v>
      </c>
      <c r="C10">
        <v>30.06</v>
      </c>
      <c r="D10" t="s">
        <v>18</v>
      </c>
      <c r="K10" t="s">
        <v>17</v>
      </c>
      <c r="L10">
        <v>1.2070000000000001</v>
      </c>
      <c r="M10">
        <v>1.1599999999999999</v>
      </c>
      <c r="N10">
        <v>0.73399999999999999</v>
      </c>
      <c r="O10">
        <v>0.71</v>
      </c>
      <c r="P10">
        <v>1.716</v>
      </c>
      <c r="Q10">
        <v>1.74</v>
      </c>
      <c r="R10" s="26">
        <f t="shared" si="1"/>
        <v>10.685915492957749</v>
      </c>
      <c r="S10" s="26">
        <f>(M10+0.3104)/0.142</f>
        <v>10.354929577464789</v>
      </c>
      <c r="T10" s="26">
        <f t="shared" si="2"/>
        <v>7.3549295774647891</v>
      </c>
      <c r="U10" s="26">
        <f>(O10+0.3104)/0.142</f>
        <v>7.1859154929577471</v>
      </c>
      <c r="V10" s="26">
        <f>(P10+0.3104)/0.142</f>
        <v>14.270422535211267</v>
      </c>
      <c r="W10" s="26">
        <f t="shared" si="4"/>
        <v>14.439436619718309</v>
      </c>
      <c r="X10" s="26">
        <f t="shared" si="5"/>
        <v>10.520422535211269</v>
      </c>
      <c r="Y10" s="26">
        <f t="shared" si="6"/>
        <v>7.2704225352112681</v>
      </c>
      <c r="Z10" s="26">
        <f t="shared" si="7"/>
        <v>14.354929577464787</v>
      </c>
      <c r="AA10" s="27">
        <f t="shared" si="8"/>
        <v>10.715258215962443</v>
      </c>
      <c r="AB10" s="27">
        <f t="shared" si="9"/>
        <v>3.1745067162666394</v>
      </c>
    </row>
    <row r="11" spans="1:33" x14ac:dyDescent="0.25">
      <c r="A11">
        <v>114</v>
      </c>
      <c r="C11" t="s">
        <v>20</v>
      </c>
      <c r="D11" t="s">
        <v>21</v>
      </c>
      <c r="K11" t="s">
        <v>21</v>
      </c>
      <c r="L11">
        <v>4.0000000000000001E-3</v>
      </c>
      <c r="M11">
        <v>5.0000000000000001E-3</v>
      </c>
      <c r="N11">
        <v>0</v>
      </c>
      <c r="O11">
        <v>0</v>
      </c>
      <c r="P11">
        <v>0.13600000000000001</v>
      </c>
      <c r="Q11">
        <v>0.14599999999999999</v>
      </c>
      <c r="R11" s="26">
        <v>0</v>
      </c>
      <c r="S11" s="26">
        <v>0</v>
      </c>
      <c r="T11" s="26">
        <v>0</v>
      </c>
      <c r="U11" s="26">
        <v>0</v>
      </c>
      <c r="V11" s="26">
        <f>(P11+0.3104)/0.142</f>
        <v>3.1436619718309862</v>
      </c>
      <c r="W11" s="26">
        <f t="shared" si="4"/>
        <v>3.2140845070422541</v>
      </c>
      <c r="X11" s="26">
        <f>AVERAGE(R11:S11)</f>
        <v>0</v>
      </c>
      <c r="Y11" s="26">
        <f t="shared" si="6"/>
        <v>0</v>
      </c>
      <c r="Z11" s="26">
        <f t="shared" si="7"/>
        <v>3.1788732394366201</v>
      </c>
      <c r="AA11" s="27">
        <f t="shared" si="8"/>
        <v>1.0596244131455401</v>
      </c>
      <c r="AB11" s="27">
        <f t="shared" si="9"/>
        <v>1.6417141304101122</v>
      </c>
      <c r="AC11">
        <f>(X5-X11)/114</f>
        <v>0.52664936990363242</v>
      </c>
      <c r="AD11">
        <f>(Y5-Y11)/114</f>
        <v>0.52664936990363242</v>
      </c>
      <c r="AE11">
        <f>(Z5-Z11)/114</f>
        <v>0.49876451692611823</v>
      </c>
      <c r="AF11">
        <f>AVERAGE(AC11:AE11)</f>
        <v>0.51735441891112766</v>
      </c>
      <c r="AG11">
        <f>STDEV(AC11:AE11)</f>
        <v>1.6099327372880959E-2</v>
      </c>
    </row>
    <row r="12" spans="1:33" x14ac:dyDescent="0.25">
      <c r="A12">
        <v>0</v>
      </c>
      <c r="B12" t="s">
        <v>102</v>
      </c>
      <c r="C12" s="2" t="s">
        <v>20</v>
      </c>
      <c r="D12" s="2" t="s">
        <v>24</v>
      </c>
      <c r="E12" s="2"/>
      <c r="F12" s="2"/>
      <c r="G12" s="2"/>
      <c r="H12" s="2"/>
      <c r="I12" s="2"/>
      <c r="J12" s="2"/>
      <c r="K12" s="2" t="s">
        <v>24</v>
      </c>
      <c r="L12" s="2">
        <v>8.0500000000000007</v>
      </c>
      <c r="M12" s="2">
        <v>8.3800000000000008</v>
      </c>
      <c r="N12" s="2">
        <v>8.0500000000000007</v>
      </c>
      <c r="O12" s="2">
        <v>8.3800000000000008</v>
      </c>
      <c r="P12" s="2">
        <v>8.0500000000000007</v>
      </c>
      <c r="Q12" s="2">
        <v>8.3800000000000008</v>
      </c>
      <c r="R12" s="26">
        <f t="shared" si="1"/>
        <v>58.876056338028178</v>
      </c>
      <c r="S12" s="26">
        <f>(M12+0.3104)/0.142</f>
        <v>61.20000000000001</v>
      </c>
      <c r="T12" s="26">
        <f t="shared" si="2"/>
        <v>58.876056338028178</v>
      </c>
      <c r="U12" s="26">
        <f>(O12+0.3104)/0.142</f>
        <v>61.20000000000001</v>
      </c>
      <c r="V12" s="26">
        <f t="shared" si="3"/>
        <v>58.876056338028178</v>
      </c>
      <c r="W12" s="26">
        <f t="shared" si="4"/>
        <v>61.20000000000001</v>
      </c>
      <c r="X12" s="26">
        <f t="shared" si="5"/>
        <v>60.038028169014098</v>
      </c>
      <c r="Y12" s="26">
        <f t="shared" si="6"/>
        <v>60.038028169014098</v>
      </c>
      <c r="Z12" s="26">
        <f t="shared" si="7"/>
        <v>60.038028169014098</v>
      </c>
      <c r="AA12" s="27">
        <f t="shared" si="8"/>
        <v>60.038028169014098</v>
      </c>
      <c r="AB12" s="27">
        <f t="shared" si="9"/>
        <v>1.272876366033133</v>
      </c>
    </row>
    <row r="13" spans="1:33" x14ac:dyDescent="0.25">
      <c r="A13">
        <f>44</f>
        <v>44</v>
      </c>
      <c r="C13">
        <v>3.07</v>
      </c>
      <c r="D13" t="s">
        <v>25</v>
      </c>
      <c r="K13" t="s">
        <v>25</v>
      </c>
      <c r="L13">
        <v>3.55</v>
      </c>
      <c r="M13">
        <v>3.57</v>
      </c>
      <c r="N13">
        <v>2.8</v>
      </c>
      <c r="P13">
        <v>4.01</v>
      </c>
      <c r="R13" s="26">
        <f t="shared" si="1"/>
        <v>27.185915492957747</v>
      </c>
      <c r="S13" s="26">
        <f>(M13+0.3104)/0.142</f>
        <v>27.326760563380283</v>
      </c>
      <c r="T13" s="26">
        <f t="shared" si="2"/>
        <v>21.904225352112675</v>
      </c>
      <c r="U13" s="26"/>
      <c r="V13" s="26">
        <f t="shared" si="3"/>
        <v>30.425352112676055</v>
      </c>
      <c r="W13" s="26"/>
      <c r="X13" s="26">
        <f t="shared" si="5"/>
        <v>27.256338028169015</v>
      </c>
      <c r="Y13" s="26">
        <f t="shared" si="6"/>
        <v>21.904225352112675</v>
      </c>
      <c r="Z13" s="26">
        <f t="shared" si="7"/>
        <v>30.425352112676055</v>
      </c>
      <c r="AA13" s="27">
        <f t="shared" si="8"/>
        <v>26.710563380281691</v>
      </c>
      <c r="AB13" s="27">
        <f t="shared" si="9"/>
        <v>3.5358261253834171</v>
      </c>
      <c r="AC13">
        <f>(X12-X13)/44</f>
        <v>0.74503841229193379</v>
      </c>
      <c r="AD13">
        <f>(Y12-Y13)/44</f>
        <v>0.8666773367477596</v>
      </c>
      <c r="AE13">
        <f>(Z12-Z13)/44</f>
        <v>0.67301536491677372</v>
      </c>
      <c r="AF13">
        <f>AVERAGE(AC13:AE13)</f>
        <v>0.76157703798548904</v>
      </c>
      <c r="AG13">
        <f>STDEV(AC13:AE13)</f>
        <v>9.7884546473076428E-2</v>
      </c>
    </row>
    <row r="14" spans="1:33" x14ac:dyDescent="0.25">
      <c r="A14">
        <f>A13+22.75</f>
        <v>66.75</v>
      </c>
      <c r="C14">
        <v>4.07</v>
      </c>
      <c r="D14" t="s">
        <v>26</v>
      </c>
      <c r="K14" t="s">
        <v>26</v>
      </c>
      <c r="L14">
        <v>0.18</v>
      </c>
      <c r="N14">
        <v>0.27200000000000002</v>
      </c>
      <c r="P14">
        <v>0.26400000000000001</v>
      </c>
      <c r="Q14">
        <v>0.24299999999999999</v>
      </c>
      <c r="R14" s="26">
        <f t="shared" si="1"/>
        <v>3.4535211267605637</v>
      </c>
      <c r="S14" s="26"/>
      <c r="T14" s="26">
        <f t="shared" si="2"/>
        <v>4.1014084507042261</v>
      </c>
      <c r="U14" s="26"/>
      <c r="V14" s="26">
        <f t="shared" si="3"/>
        <v>4.0450704225352121</v>
      </c>
      <c r="W14" s="26">
        <f>(Q14+0.3104)/0.142</f>
        <v>3.8971830985915497</v>
      </c>
      <c r="X14" s="26">
        <f t="shared" si="5"/>
        <v>3.4535211267605637</v>
      </c>
      <c r="Y14" s="26">
        <f t="shared" si="6"/>
        <v>4.1014084507042261</v>
      </c>
      <c r="Z14" s="26">
        <f t="shared" si="7"/>
        <v>3.9711267605633811</v>
      </c>
      <c r="AA14" s="27">
        <f t="shared" si="8"/>
        <v>3.8742957746478877</v>
      </c>
      <c r="AB14" s="27">
        <f t="shared" si="9"/>
        <v>0.29343896690141807</v>
      </c>
    </row>
    <row r="15" spans="1:33" x14ac:dyDescent="0.25">
      <c r="A15">
        <f>24*3+1.5</f>
        <v>73.5</v>
      </c>
      <c r="C15">
        <v>4.07</v>
      </c>
      <c r="D15" t="s">
        <v>27</v>
      </c>
      <c r="K15" t="s">
        <v>27</v>
      </c>
      <c r="L15">
        <v>4.4999999999999998E-2</v>
      </c>
      <c r="N15">
        <v>0.09</v>
      </c>
      <c r="P15">
        <v>5.5E-2</v>
      </c>
      <c r="R15" s="26">
        <f t="shared" si="1"/>
        <v>2.5028169014084507</v>
      </c>
      <c r="S15" s="26"/>
      <c r="T15" s="26">
        <f>(N15+0.3104)/0.142</f>
        <v>2.8197183098591552</v>
      </c>
      <c r="U15" s="26"/>
      <c r="V15" s="26">
        <f t="shared" si="3"/>
        <v>2.5732394366197187</v>
      </c>
      <c r="W15" s="26"/>
      <c r="X15" s="26">
        <f t="shared" si="5"/>
        <v>2.5028169014084507</v>
      </c>
      <c r="Y15" s="26">
        <f t="shared" si="6"/>
        <v>2.8197183098591552</v>
      </c>
      <c r="Z15" s="26">
        <f t="shared" si="7"/>
        <v>2.5732394366197187</v>
      </c>
      <c r="AA15" s="27">
        <f t="shared" si="8"/>
        <v>2.6319248826291086</v>
      </c>
      <c r="AB15" s="27">
        <f t="shared" si="9"/>
        <v>0.16640195867086655</v>
      </c>
    </row>
    <row r="16" spans="1:33" x14ac:dyDescent="0.25">
      <c r="A16">
        <v>0</v>
      </c>
      <c r="B16">
        <v>100</v>
      </c>
      <c r="C16">
        <v>4.07</v>
      </c>
      <c r="D16" t="s">
        <v>28</v>
      </c>
      <c r="K16" t="s">
        <v>28</v>
      </c>
      <c r="L16" s="2">
        <f t="shared" ref="L16:Q16" si="10">0.396*40</f>
        <v>15.84</v>
      </c>
      <c r="M16" s="2">
        <f t="shared" si="10"/>
        <v>15.84</v>
      </c>
      <c r="N16" s="2">
        <f t="shared" si="10"/>
        <v>15.84</v>
      </c>
      <c r="O16" s="2">
        <f t="shared" si="10"/>
        <v>15.84</v>
      </c>
      <c r="P16" s="2">
        <f t="shared" si="10"/>
        <v>15.84</v>
      </c>
      <c r="Q16" s="2">
        <f t="shared" si="10"/>
        <v>15.84</v>
      </c>
      <c r="R16" s="26">
        <f t="shared" si="1"/>
        <v>113.73521126760565</v>
      </c>
      <c r="S16" s="26">
        <f>(M16+0.3104)/0.142</f>
        <v>113.73521126760565</v>
      </c>
      <c r="T16" s="26">
        <f t="shared" si="2"/>
        <v>113.73521126760565</v>
      </c>
      <c r="U16" s="26">
        <f>(O16+0.3104)/0.142</f>
        <v>113.73521126760565</v>
      </c>
      <c r="V16" s="26">
        <f t="shared" si="3"/>
        <v>113.73521126760565</v>
      </c>
      <c r="W16" s="26">
        <f>(Q16+0.3104)/0.142</f>
        <v>113.73521126760565</v>
      </c>
      <c r="X16" s="26">
        <f t="shared" si="5"/>
        <v>113.73521126760565</v>
      </c>
      <c r="Y16" s="26">
        <f t="shared" si="6"/>
        <v>113.73521126760565</v>
      </c>
      <c r="Z16" s="26">
        <f t="shared" si="7"/>
        <v>113.73521126760565</v>
      </c>
      <c r="AA16" s="27">
        <f t="shared" si="8"/>
        <v>113.73521126760566</v>
      </c>
      <c r="AB16" s="27">
        <v>0</v>
      </c>
    </row>
    <row r="17" spans="1:33" x14ac:dyDescent="0.25">
      <c r="A17">
        <f>24-6.5</f>
        <v>17.5</v>
      </c>
      <c r="C17">
        <v>5.07</v>
      </c>
      <c r="D17" t="s">
        <v>18</v>
      </c>
      <c r="K17" t="s">
        <v>18</v>
      </c>
      <c r="L17">
        <v>11.69</v>
      </c>
      <c r="M17">
        <v>11.94</v>
      </c>
      <c r="N17">
        <v>10.74</v>
      </c>
      <c r="O17">
        <v>11.03</v>
      </c>
      <c r="P17">
        <v>10.78</v>
      </c>
      <c r="R17" s="26">
        <f t="shared" si="1"/>
        <v>84.509859154929572</v>
      </c>
      <c r="S17" s="26">
        <f>(M17+0.3104)/0.142</f>
        <v>86.270422535211267</v>
      </c>
      <c r="T17" s="26">
        <f t="shared" si="2"/>
        <v>77.819718309859155</v>
      </c>
      <c r="U17" s="26">
        <f>(O17+0.3104)/0.142</f>
        <v>79.861971830985908</v>
      </c>
      <c r="V17" s="26">
        <f t="shared" si="3"/>
        <v>78.101408450704227</v>
      </c>
      <c r="W17" s="26"/>
      <c r="X17" s="26">
        <f t="shared" si="5"/>
        <v>85.39014084507042</v>
      </c>
      <c r="Y17" s="26">
        <f t="shared" si="6"/>
        <v>78.840845070422532</v>
      </c>
      <c r="Z17" s="26">
        <f t="shared" si="7"/>
        <v>78.101408450704227</v>
      </c>
      <c r="AA17" s="27">
        <f t="shared" si="8"/>
        <v>81.312676056338034</v>
      </c>
      <c r="AB17" s="27">
        <f t="shared" si="9"/>
        <v>3.8541784506504668</v>
      </c>
    </row>
    <row r="18" spans="1:33" x14ac:dyDescent="0.25">
      <c r="A18">
        <f>48-3.5</f>
        <v>44.5</v>
      </c>
      <c r="C18">
        <v>6.07</v>
      </c>
      <c r="D18" t="s">
        <v>14</v>
      </c>
      <c r="K18" t="s">
        <v>14</v>
      </c>
      <c r="L18">
        <v>5.8</v>
      </c>
      <c r="N18">
        <v>2.75</v>
      </c>
      <c r="P18">
        <v>3.71</v>
      </c>
      <c r="R18" s="26">
        <f t="shared" si="1"/>
        <v>43.030985915492963</v>
      </c>
      <c r="S18" s="26"/>
      <c r="T18" s="26">
        <f t="shared" si="2"/>
        <v>21.552112676056339</v>
      </c>
      <c r="U18" s="26"/>
      <c r="V18" s="26">
        <f t="shared" si="3"/>
        <v>28.312676056338034</v>
      </c>
      <c r="W18" s="26"/>
      <c r="X18" s="26">
        <f t="shared" si="5"/>
        <v>43.030985915492963</v>
      </c>
      <c r="Y18" s="26">
        <f t="shared" si="6"/>
        <v>21.552112676056339</v>
      </c>
      <c r="Z18" s="26">
        <f t="shared" si="7"/>
        <v>28.312676056338034</v>
      </c>
      <c r="AA18" s="27">
        <f t="shared" si="8"/>
        <v>30.965258215962447</v>
      </c>
      <c r="AB18" s="27">
        <f t="shared" si="9"/>
        <v>10.982378749347284</v>
      </c>
      <c r="AC18">
        <f>(X16-X18)/44.5</f>
        <v>1.5888589966766895</v>
      </c>
      <c r="AD18">
        <f>(Y16-Y18)/44.5</f>
        <v>2.0715303054280745</v>
      </c>
      <c r="AE18">
        <f>(Z16-Z18)/44.5</f>
        <v>1.9196075328374744</v>
      </c>
      <c r="AF18">
        <f>AVERAGE(AC18:AE18)</f>
        <v>1.8599989449807461</v>
      </c>
      <c r="AG18">
        <f>STDEV(AC18:AE18)</f>
        <v>0.24679502807521897</v>
      </c>
    </row>
    <row r="19" spans="1:33" x14ac:dyDescent="0.25">
      <c r="A19">
        <f>3*24-6</f>
        <v>66</v>
      </c>
      <c r="C19">
        <v>7.07</v>
      </c>
      <c r="D19" t="s">
        <v>29</v>
      </c>
      <c r="K19" t="s">
        <v>29</v>
      </c>
      <c r="L19">
        <v>1.577</v>
      </c>
      <c r="N19">
        <v>3.3000000000000002E-2</v>
      </c>
      <c r="P19">
        <v>0.38200000000000001</v>
      </c>
      <c r="R19" s="26">
        <f t="shared" si="1"/>
        <v>13.291549295774649</v>
      </c>
      <c r="S19" s="26"/>
      <c r="T19" s="26">
        <f t="shared" si="2"/>
        <v>2.4183098591549301</v>
      </c>
      <c r="U19" s="26"/>
      <c r="V19" s="26">
        <f t="shared" si="3"/>
        <v>4.8760563380281692</v>
      </c>
      <c r="W19" s="26"/>
      <c r="X19" s="26">
        <f t="shared" si="5"/>
        <v>13.291549295774649</v>
      </c>
      <c r="Y19" s="26">
        <f t="shared" si="6"/>
        <v>2.4183098591549301</v>
      </c>
      <c r="Z19" s="26">
        <f t="shared" si="7"/>
        <v>4.8760563380281692</v>
      </c>
      <c r="AA19" s="27">
        <f t="shared" si="8"/>
        <v>6.8619718309859152</v>
      </c>
      <c r="AB19" s="27">
        <f t="shared" si="9"/>
        <v>5.7021688172477667</v>
      </c>
    </row>
    <row r="20" spans="1:33" x14ac:dyDescent="0.25">
      <c r="A20">
        <f>24*3-1.5</f>
        <v>70.5</v>
      </c>
      <c r="C20">
        <v>7.07</v>
      </c>
      <c r="D20" t="s">
        <v>24</v>
      </c>
      <c r="K20" t="s">
        <v>24</v>
      </c>
      <c r="L20">
        <v>0.91900000000000004</v>
      </c>
      <c r="N20">
        <v>6.0000000000000001E-3</v>
      </c>
      <c r="P20">
        <v>6.5000000000000002E-2</v>
      </c>
      <c r="R20" s="26">
        <f t="shared" si="1"/>
        <v>8.657746478873241</v>
      </c>
      <c r="S20" s="26"/>
      <c r="T20" s="26">
        <v>0</v>
      </c>
      <c r="U20" s="26"/>
      <c r="V20" s="26">
        <f t="shared" si="3"/>
        <v>2.6436619718309862</v>
      </c>
      <c r="W20" s="26"/>
      <c r="X20" s="26">
        <f t="shared" si="5"/>
        <v>8.657746478873241</v>
      </c>
      <c r="Y20" s="26">
        <f>AVERAGE(T20:U20)</f>
        <v>0</v>
      </c>
      <c r="Z20" s="26">
        <f t="shared" si="7"/>
        <v>2.6436619718309862</v>
      </c>
      <c r="AA20" s="27">
        <f t="shared" si="8"/>
        <v>3.7671361502347422</v>
      </c>
      <c r="AB20" s="27">
        <f t="shared" si="9"/>
        <v>4.4368670472829699</v>
      </c>
    </row>
    <row r="21" spans="1:33" x14ac:dyDescent="0.25">
      <c r="A21">
        <v>0</v>
      </c>
      <c r="B21">
        <v>200</v>
      </c>
      <c r="C21">
        <v>7.07</v>
      </c>
      <c r="D21" t="s">
        <v>24</v>
      </c>
      <c r="K21" t="s">
        <v>38</v>
      </c>
      <c r="L21" s="1">
        <f>0.679*40</f>
        <v>27.160000000000004</v>
      </c>
      <c r="M21" s="1">
        <f>0.698*40</f>
        <v>27.919999999999998</v>
      </c>
      <c r="N21" s="1">
        <f>0.679*40</f>
        <v>27.160000000000004</v>
      </c>
      <c r="O21" s="1">
        <f>0.698*40</f>
        <v>27.919999999999998</v>
      </c>
      <c r="P21" s="1">
        <f>0.679*40</f>
        <v>27.160000000000004</v>
      </c>
      <c r="Q21" s="1">
        <f>0.698*40</f>
        <v>27.919999999999998</v>
      </c>
      <c r="R21" s="26">
        <f t="shared" si="1"/>
        <v>193.45352112676062</v>
      </c>
      <c r="S21" s="26">
        <f>(M21+0.3104)/0.142</f>
        <v>198.80563380281691</v>
      </c>
      <c r="T21" s="26">
        <f t="shared" si="2"/>
        <v>193.45352112676062</v>
      </c>
      <c r="U21" s="26">
        <f>(O21+0.3104)/0.142</f>
        <v>198.80563380281691</v>
      </c>
      <c r="V21" s="26">
        <f t="shared" si="3"/>
        <v>193.45352112676062</v>
      </c>
      <c r="W21" s="26">
        <f>(Q21+0.3104)/0.142</f>
        <v>198.80563380281691</v>
      </c>
      <c r="X21" s="26">
        <f t="shared" si="5"/>
        <v>196.12957746478878</v>
      </c>
      <c r="Y21" s="26">
        <f t="shared" si="6"/>
        <v>196.12957746478878</v>
      </c>
      <c r="Z21" s="26">
        <f t="shared" si="7"/>
        <v>196.12957746478878</v>
      </c>
      <c r="AA21" s="27">
        <f t="shared" si="8"/>
        <v>196.12957746478878</v>
      </c>
      <c r="AB21" s="27">
        <f t="shared" si="9"/>
        <v>2.931472842985372</v>
      </c>
    </row>
    <row r="22" spans="1:33" x14ac:dyDescent="0.25">
      <c r="A22">
        <f>24-4.3</f>
        <v>19.7</v>
      </c>
      <c r="C22">
        <v>8.07</v>
      </c>
      <c r="D22" t="s">
        <v>31</v>
      </c>
      <c r="K22" t="s">
        <v>31</v>
      </c>
      <c r="L22">
        <f>0.643*30</f>
        <v>19.29</v>
      </c>
      <c r="N22">
        <f>0.669*30</f>
        <v>20.07</v>
      </c>
      <c r="P22">
        <f>0.657*30</f>
        <v>19.71</v>
      </c>
      <c r="R22" s="26">
        <f t="shared" si="1"/>
        <v>138.03098591549298</v>
      </c>
      <c r="S22" s="26"/>
      <c r="T22" s="26">
        <f t="shared" si="2"/>
        <v>143.52394366197186</v>
      </c>
      <c r="U22" s="26"/>
      <c r="V22" s="26">
        <f t="shared" si="3"/>
        <v>140.98873239436622</v>
      </c>
      <c r="W22" s="26"/>
      <c r="X22" s="26">
        <f t="shared" si="5"/>
        <v>138.03098591549298</v>
      </c>
      <c r="Y22" s="26">
        <f t="shared" si="6"/>
        <v>143.52394366197186</v>
      </c>
      <c r="Z22" s="26">
        <f t="shared" si="7"/>
        <v>140.98873239436622</v>
      </c>
      <c r="AA22" s="27">
        <f t="shared" si="8"/>
        <v>140.8478873239437</v>
      </c>
      <c r="AB22" s="27">
        <f t="shared" si="9"/>
        <v>2.749186098020163</v>
      </c>
    </row>
    <row r="23" spans="1:33" x14ac:dyDescent="0.25">
      <c r="A23">
        <f>24*3-7.3</f>
        <v>64.7</v>
      </c>
      <c r="C23">
        <v>10.07</v>
      </c>
      <c r="D23" s="20" t="s">
        <v>32</v>
      </c>
      <c r="K23" s="20" t="s">
        <v>32</v>
      </c>
      <c r="L23">
        <f>0.616*20</f>
        <v>12.32</v>
      </c>
      <c r="N23">
        <f>0.602*20</f>
        <v>12.04</v>
      </c>
      <c r="P23">
        <f>0.504*20</f>
        <v>10.08</v>
      </c>
      <c r="R23" s="26">
        <f t="shared" si="1"/>
        <v>88.946478873239442</v>
      </c>
      <c r="S23" s="26"/>
      <c r="T23" s="26">
        <f t="shared" si="2"/>
        <v>86.97464788732394</v>
      </c>
      <c r="U23" s="26"/>
      <c r="V23" s="26">
        <f t="shared" si="3"/>
        <v>73.171830985915491</v>
      </c>
      <c r="W23" s="26"/>
      <c r="X23" s="26">
        <f t="shared" si="5"/>
        <v>88.946478873239442</v>
      </c>
      <c r="Y23" s="26">
        <f t="shared" si="6"/>
        <v>86.97464788732394</v>
      </c>
      <c r="Z23" s="26">
        <f t="shared" si="7"/>
        <v>73.171830985915491</v>
      </c>
      <c r="AA23" s="27">
        <f t="shared" si="8"/>
        <v>83.030985915492963</v>
      </c>
      <c r="AB23" s="27">
        <f t="shared" si="9"/>
        <v>8.5950120013478095</v>
      </c>
    </row>
    <row r="24" spans="1:33" x14ac:dyDescent="0.25">
      <c r="A24">
        <f>A23+46</f>
        <v>110.7</v>
      </c>
      <c r="C24">
        <v>12.07</v>
      </c>
      <c r="D24" s="20" t="s">
        <v>33</v>
      </c>
      <c r="K24" s="20" t="s">
        <v>33</v>
      </c>
      <c r="L24">
        <f>0.21*20</f>
        <v>4.2</v>
      </c>
      <c r="N24">
        <f>0.051*20</f>
        <v>1.02</v>
      </c>
      <c r="P24">
        <f>0</f>
        <v>0</v>
      </c>
      <c r="R24" s="26">
        <f t="shared" si="1"/>
        <v>31.763380281690146</v>
      </c>
      <c r="S24" s="26"/>
      <c r="T24" s="26">
        <f t="shared" si="2"/>
        <v>9.3690140845070431</v>
      </c>
      <c r="U24" s="26"/>
      <c r="V24" s="26">
        <v>0</v>
      </c>
      <c r="W24" s="26"/>
      <c r="X24" s="26">
        <f t="shared" si="5"/>
        <v>31.763380281690146</v>
      </c>
      <c r="Y24" s="26">
        <f t="shared" si="6"/>
        <v>9.3690140845070431</v>
      </c>
      <c r="Z24" s="26">
        <f t="shared" si="7"/>
        <v>0</v>
      </c>
      <c r="AA24" s="27">
        <f t="shared" si="8"/>
        <v>13.71079812206573</v>
      </c>
      <c r="AB24" s="27">
        <f t="shared" si="9"/>
        <v>16.320735222452914</v>
      </c>
    </row>
    <row r="25" spans="1:33" x14ac:dyDescent="0.25">
      <c r="A25">
        <f>6*24-4</f>
        <v>140</v>
      </c>
      <c r="C25">
        <v>13.07</v>
      </c>
      <c r="D25">
        <v>1600</v>
      </c>
      <c r="K25">
        <v>1600</v>
      </c>
      <c r="L25">
        <v>1.9159999999999999</v>
      </c>
      <c r="N25">
        <v>0</v>
      </c>
      <c r="P25">
        <v>0</v>
      </c>
      <c r="R25" s="26">
        <f t="shared" si="1"/>
        <v>15.678873239436621</v>
      </c>
      <c r="S25" s="26"/>
      <c r="T25" s="26"/>
      <c r="U25" s="26"/>
      <c r="V25" s="26">
        <v>0</v>
      </c>
      <c r="W25" s="26"/>
      <c r="X25" s="26">
        <f t="shared" si="5"/>
        <v>15.678873239436621</v>
      </c>
      <c r="Y25" s="26" t="e">
        <f>AVERAGE(T25:U25)</f>
        <v>#DIV/0!</v>
      </c>
      <c r="Z25" s="26">
        <f t="shared" si="7"/>
        <v>0</v>
      </c>
      <c r="AA25" s="27">
        <f t="shared" si="8"/>
        <v>7.8394366197183105</v>
      </c>
      <c r="AB25" s="27">
        <f t="shared" si="9"/>
        <v>11.086637588969927</v>
      </c>
    </row>
    <row r="26" spans="1:33" x14ac:dyDescent="0.25">
      <c r="A26">
        <v>0</v>
      </c>
      <c r="B26">
        <v>300</v>
      </c>
      <c r="C26">
        <v>13.07</v>
      </c>
      <c r="D26">
        <v>1700</v>
      </c>
      <c r="K26">
        <v>1700</v>
      </c>
      <c r="L26" s="2">
        <f>0.973*40</f>
        <v>38.92</v>
      </c>
      <c r="M26" s="2"/>
      <c r="N26" s="2">
        <f>40.12</f>
        <v>40.119999999999997</v>
      </c>
      <c r="O26" s="2"/>
      <c r="P26" s="2">
        <f>40*0.973</f>
        <v>38.92</v>
      </c>
      <c r="R26" s="26">
        <f t="shared" si="1"/>
        <v>276.27042253521131</v>
      </c>
      <c r="S26" s="26"/>
      <c r="T26" s="26">
        <f t="shared" si="2"/>
        <v>284.72112676056338</v>
      </c>
      <c r="U26" s="26"/>
      <c r="V26" s="26">
        <f t="shared" si="3"/>
        <v>276.27042253521131</v>
      </c>
      <c r="W26" s="26"/>
      <c r="X26" s="26">
        <f t="shared" si="5"/>
        <v>276.27042253521131</v>
      </c>
      <c r="Y26" s="26">
        <f t="shared" si="6"/>
        <v>284.72112676056338</v>
      </c>
      <c r="Z26" s="26">
        <f t="shared" si="7"/>
        <v>276.27042253521131</v>
      </c>
      <c r="AA26" s="27">
        <f t="shared" si="8"/>
        <v>279.087323943662</v>
      </c>
      <c r="AB26" s="27">
        <f>STDEV(R26:W26)</f>
        <v>4.8790163593489257</v>
      </c>
    </row>
    <row r="27" spans="1:33" s="34" customFormat="1" x14ac:dyDescent="0.25">
      <c r="A27" s="34">
        <f>23.5</f>
        <v>23.5</v>
      </c>
      <c r="C27" s="34">
        <v>14.07</v>
      </c>
      <c r="D27" s="34" t="s">
        <v>35</v>
      </c>
      <c r="K27" s="34" t="s">
        <v>35</v>
      </c>
      <c r="L27" s="34">
        <f>40*0.934</f>
        <v>37.36</v>
      </c>
      <c r="N27" s="34">
        <f>0.903*40</f>
        <v>36.120000000000005</v>
      </c>
      <c r="P27" s="34">
        <f>0.934*40</f>
        <v>37.36</v>
      </c>
      <c r="R27" s="35">
        <f t="shared" si="1"/>
        <v>265.28450704225355</v>
      </c>
      <c r="S27" s="35"/>
      <c r="T27" s="35">
        <f t="shared" si="2"/>
        <v>256.55211267605642</v>
      </c>
      <c r="U27" s="35"/>
      <c r="V27" s="35">
        <f t="shared" si="3"/>
        <v>265.28450704225355</v>
      </c>
      <c r="W27" s="35"/>
      <c r="X27" s="35">
        <f t="shared" si="5"/>
        <v>265.28450704225355</v>
      </c>
      <c r="Y27" s="35">
        <f t="shared" si="6"/>
        <v>256.55211267605642</v>
      </c>
      <c r="Z27" s="35">
        <f t="shared" si="7"/>
        <v>265.28450704225355</v>
      </c>
      <c r="AA27" s="35">
        <f t="shared" si="8"/>
        <v>262.37370892018788</v>
      </c>
      <c r="AB27" s="35">
        <f t="shared" si="9"/>
        <v>5.041650237993883</v>
      </c>
      <c r="AC27">
        <f>(Y26-Y27)/23.5</f>
        <v>1.1986814504045513</v>
      </c>
      <c r="AD27">
        <f>(Z26-Z27)/23.5</f>
        <v>0.46748576565777694</v>
      </c>
      <c r="AE27">
        <f>(AA26-AA27)/23.5</f>
        <v>0.71121766057336677</v>
      </c>
      <c r="AF27">
        <f>AVERAGE(AC27:AE27)</f>
        <v>0.79246162554523158</v>
      </c>
      <c r="AG27">
        <f>STDEV(AC27:AE27)</f>
        <v>0.37230661924190744</v>
      </c>
    </row>
    <row r="28" spans="1:33" x14ac:dyDescent="0.25">
      <c r="A28">
        <f>96-5.5</f>
        <v>90.5</v>
      </c>
      <c r="C28" s="19">
        <v>42933</v>
      </c>
      <c r="D28" s="20" t="s">
        <v>36</v>
      </c>
      <c r="K28" s="20" t="s">
        <v>36</v>
      </c>
      <c r="L28">
        <f>0.307*40</f>
        <v>12.28</v>
      </c>
      <c r="N28">
        <f>0.376*40</f>
        <v>15.04</v>
      </c>
      <c r="P28">
        <f>0.42*40</f>
        <v>16.8</v>
      </c>
      <c r="R28" s="26">
        <f t="shared" si="1"/>
        <v>88.664788732394371</v>
      </c>
      <c r="S28" s="26"/>
      <c r="T28" s="26">
        <f t="shared" si="2"/>
        <v>108.10140845070423</v>
      </c>
      <c r="U28" s="26"/>
      <c r="V28" s="26">
        <f t="shared" si="3"/>
        <v>120.49577464788734</v>
      </c>
      <c r="W28" s="26"/>
      <c r="X28" s="26">
        <f t="shared" si="5"/>
        <v>88.664788732394371</v>
      </c>
      <c r="Y28" s="26">
        <f t="shared" si="6"/>
        <v>108.10140845070423</v>
      </c>
      <c r="Z28" s="26">
        <f t="shared" si="7"/>
        <v>120.49577464788734</v>
      </c>
      <c r="AA28" s="27">
        <f t="shared" si="8"/>
        <v>105.75399061032864</v>
      </c>
      <c r="AB28" s="27">
        <f t="shared" si="9"/>
        <v>16.044802709166152</v>
      </c>
    </row>
    <row r="29" spans="1:33" x14ac:dyDescent="0.25">
      <c r="A29">
        <f>A28+24</f>
        <v>114.5</v>
      </c>
      <c r="C29">
        <v>18.07</v>
      </c>
      <c r="K29" s="20" t="s">
        <v>36</v>
      </c>
      <c r="L29">
        <f>0.279*40</f>
        <v>11.16</v>
      </c>
      <c r="N29">
        <f>0.276*40</f>
        <v>11.040000000000001</v>
      </c>
      <c r="P29">
        <f>0.262*40</f>
        <v>10.48</v>
      </c>
      <c r="R29" s="26">
        <f t="shared" si="1"/>
        <v>80.777464788732402</v>
      </c>
      <c r="S29" s="26"/>
      <c r="T29" s="26">
        <f t="shared" si="2"/>
        <v>79.932394366197187</v>
      </c>
      <c r="U29" s="26"/>
      <c r="V29" s="26">
        <f t="shared" si="3"/>
        <v>75.98873239436621</v>
      </c>
      <c r="W29" s="26"/>
      <c r="X29" s="26">
        <f t="shared" si="5"/>
        <v>80.777464788732402</v>
      </c>
      <c r="Y29" s="26">
        <f t="shared" si="6"/>
        <v>79.932394366197187</v>
      </c>
      <c r="Z29" s="26">
        <f t="shared" si="7"/>
        <v>75.98873239436621</v>
      </c>
      <c r="AA29" s="27">
        <f t="shared" si="8"/>
        <v>78.899530516431923</v>
      </c>
      <c r="AB29" s="27">
        <f t="shared" si="9"/>
        <v>2.5559920354584378</v>
      </c>
    </row>
    <row r="30" spans="1:33" x14ac:dyDescent="0.25">
      <c r="A30">
        <f>7*24</f>
        <v>168</v>
      </c>
      <c r="C30">
        <v>21.07</v>
      </c>
      <c r="K30" t="s">
        <v>39</v>
      </c>
      <c r="L30">
        <v>7.8E-2</v>
      </c>
      <c r="N30">
        <f>0.163*2</f>
        <v>0.32600000000000001</v>
      </c>
      <c r="P30">
        <f>0.259*2</f>
        <v>0.51800000000000002</v>
      </c>
      <c r="R30" s="26">
        <f t="shared" si="1"/>
        <v>2.7352112676056342</v>
      </c>
      <c r="S30" s="26"/>
      <c r="T30" s="26">
        <f t="shared" si="2"/>
        <v>4.4816901408450711</v>
      </c>
      <c r="U30" s="26"/>
      <c r="V30" s="26">
        <f t="shared" si="3"/>
        <v>5.8338028169014091</v>
      </c>
      <c r="W30" s="26"/>
      <c r="X30" s="26">
        <f t="shared" si="5"/>
        <v>2.7352112676056342</v>
      </c>
      <c r="Y30" s="26">
        <f t="shared" si="6"/>
        <v>4.4816901408450711</v>
      </c>
      <c r="Z30" s="26">
        <f t="shared" si="7"/>
        <v>5.8338028169014091</v>
      </c>
      <c r="AA30" s="27">
        <f t="shared" si="8"/>
        <v>4.3502347417840381</v>
      </c>
      <c r="AB30" s="27">
        <f t="shared" si="9"/>
        <v>1.5534728155968884</v>
      </c>
    </row>
    <row r="31" spans="1:33" x14ac:dyDescent="0.25">
      <c r="C31">
        <v>25.07</v>
      </c>
      <c r="K31" t="s">
        <v>40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zoomScale="60" zoomScaleNormal="60" workbookViewId="0">
      <selection activeCell="L1" sqref="L1"/>
    </sheetView>
  </sheetViews>
  <sheetFormatPr defaultRowHeight="15" x14ac:dyDescent="0.25"/>
  <cols>
    <col min="4" max="10" width="0" hidden="1" customWidth="1"/>
  </cols>
  <sheetData>
    <row r="1" spans="1:33" ht="18.75" x14ac:dyDescent="0.3">
      <c r="A1" t="s">
        <v>23</v>
      </c>
      <c r="C1" s="1"/>
      <c r="D1" s="2"/>
      <c r="G1" s="2"/>
      <c r="L1" t="s">
        <v>107</v>
      </c>
      <c r="M1" s="3"/>
      <c r="N1" s="40" t="s">
        <v>54</v>
      </c>
      <c r="O1" s="4"/>
      <c r="P1" s="3"/>
      <c r="Q1" s="3"/>
      <c r="X1" s="5">
        <v>50.1</v>
      </c>
      <c r="Z1" s="5">
        <v>50.2</v>
      </c>
      <c r="AA1" s="6"/>
      <c r="AB1" s="5">
        <v>50.3</v>
      </c>
    </row>
    <row r="2" spans="1:33" x14ac:dyDescent="0.25">
      <c r="A2" t="s">
        <v>45</v>
      </c>
      <c r="C2" s="2"/>
      <c r="F2" s="2"/>
      <c r="G2" s="2"/>
      <c r="H2" s="2"/>
      <c r="I2" s="7"/>
      <c r="L2" s="8"/>
      <c r="M2" s="8"/>
      <c r="N2" s="9"/>
      <c r="O2" s="9"/>
      <c r="P2" s="8"/>
      <c r="Q2" s="3"/>
    </row>
    <row r="3" spans="1:33" ht="18.75" x14ac:dyDescent="0.3">
      <c r="C3" s="5" t="s">
        <v>103</v>
      </c>
      <c r="D3" s="5"/>
      <c r="E3" s="5"/>
      <c r="F3" s="5"/>
      <c r="G3" s="5"/>
      <c r="H3" s="5"/>
      <c r="I3" s="5"/>
      <c r="J3" s="5"/>
      <c r="K3" s="5"/>
      <c r="L3" s="5">
        <v>50.1</v>
      </c>
      <c r="N3" s="5">
        <v>50.2</v>
      </c>
      <c r="O3" s="6"/>
      <c r="P3" s="5">
        <v>50.3</v>
      </c>
      <c r="Q3" s="10"/>
      <c r="R3" t="s">
        <v>0</v>
      </c>
      <c r="T3" t="s">
        <v>1</v>
      </c>
      <c r="V3" t="s">
        <v>2</v>
      </c>
      <c r="X3" s="1" t="s">
        <v>0</v>
      </c>
      <c r="Y3" s="1" t="s">
        <v>1</v>
      </c>
      <c r="Z3" s="1" t="s">
        <v>2</v>
      </c>
      <c r="AA3" s="11"/>
      <c r="AB3" s="11"/>
    </row>
    <row r="4" spans="1:33" ht="15.75" x14ac:dyDescent="0.25">
      <c r="A4" t="s">
        <v>3</v>
      </c>
      <c r="B4" t="s">
        <v>4</v>
      </c>
      <c r="C4" s="12" t="s">
        <v>5</v>
      </c>
      <c r="D4" s="12"/>
      <c r="E4" s="12"/>
      <c r="F4" s="12"/>
      <c r="G4" s="12"/>
      <c r="H4" s="12"/>
      <c r="I4" s="13"/>
      <c r="J4" s="13"/>
      <c r="K4" s="13"/>
      <c r="L4" s="14" t="s">
        <v>6</v>
      </c>
      <c r="M4" s="14"/>
      <c r="N4" s="15" t="s">
        <v>6</v>
      </c>
      <c r="O4" s="15"/>
      <c r="P4" s="14" t="s">
        <v>6</v>
      </c>
      <c r="Q4" s="14"/>
      <c r="R4" s="16" t="s">
        <v>7</v>
      </c>
      <c r="S4" s="17"/>
      <c r="T4" s="18"/>
      <c r="U4" s="18"/>
      <c r="V4" s="18"/>
      <c r="W4" s="18"/>
      <c r="X4" t="s">
        <v>8</v>
      </c>
      <c r="Y4" t="s">
        <v>9</v>
      </c>
      <c r="Z4" t="s">
        <v>10</v>
      </c>
      <c r="AA4" s="11" t="s">
        <v>11</v>
      </c>
      <c r="AB4" s="11" t="s">
        <v>12</v>
      </c>
      <c r="AC4" s="11" t="s">
        <v>11</v>
      </c>
    </row>
    <row r="5" spans="1:33" x14ac:dyDescent="0.25">
      <c r="A5">
        <v>0</v>
      </c>
      <c r="C5" s="19" t="s">
        <v>13</v>
      </c>
      <c r="D5" t="s">
        <v>14</v>
      </c>
      <c r="K5" t="s">
        <v>14</v>
      </c>
    </row>
    <row r="6" spans="1:33" x14ac:dyDescent="0.25">
      <c r="A6">
        <f>24-3.5</f>
        <v>20.5</v>
      </c>
      <c r="B6">
        <f>A6-20.5</f>
        <v>0</v>
      </c>
      <c r="C6">
        <v>27.06</v>
      </c>
      <c r="D6" t="s">
        <v>15</v>
      </c>
      <c r="K6" t="s">
        <v>15</v>
      </c>
      <c r="L6">
        <v>8.0500000000000007</v>
      </c>
      <c r="M6">
        <v>8.3800000000000008</v>
      </c>
      <c r="N6">
        <v>8.0500000000000007</v>
      </c>
      <c r="O6">
        <v>8.3800000000000008</v>
      </c>
      <c r="P6">
        <v>8.0500000000000007</v>
      </c>
      <c r="Q6">
        <v>8.3800000000000008</v>
      </c>
      <c r="R6" s="26">
        <f t="shared" ref="R6:W6" si="0">(L6+0.3104)/0.142</f>
        <v>58.876056338028178</v>
      </c>
      <c r="S6" s="26">
        <f t="shared" si="0"/>
        <v>61.20000000000001</v>
      </c>
      <c r="T6" s="26">
        <f t="shared" si="0"/>
        <v>58.876056338028178</v>
      </c>
      <c r="U6" s="26">
        <f t="shared" si="0"/>
        <v>61.20000000000001</v>
      </c>
      <c r="V6" s="26">
        <f t="shared" si="0"/>
        <v>58.876056338028178</v>
      </c>
      <c r="W6" s="26">
        <f t="shared" si="0"/>
        <v>61.20000000000001</v>
      </c>
      <c r="X6" s="26">
        <f>AVERAGE(R6:S6)</f>
        <v>60.038028169014098</v>
      </c>
      <c r="Y6" s="26">
        <f>AVERAGE(T6:U6)</f>
        <v>60.038028169014098</v>
      </c>
      <c r="Z6" s="26">
        <f>AVERAGE(V6:W6)</f>
        <v>60.038028169014098</v>
      </c>
      <c r="AA6" s="27">
        <f>AVERAGE(R6:W6)</f>
        <v>60.038028169014098</v>
      </c>
      <c r="AB6" s="27">
        <f>STDEV(R6:W6)</f>
        <v>1.272876366033133</v>
      </c>
    </row>
    <row r="7" spans="1:33" x14ac:dyDescent="0.25">
      <c r="A7">
        <f>47.5</f>
        <v>47.5</v>
      </c>
      <c r="B7">
        <f t="shared" ref="B7:B12" si="1">A7-20.5</f>
        <v>27</v>
      </c>
      <c r="C7">
        <v>28.06</v>
      </c>
      <c r="D7" t="s">
        <v>16</v>
      </c>
      <c r="K7" t="s">
        <v>16</v>
      </c>
      <c r="L7">
        <f>0.78*10</f>
        <v>7.8000000000000007</v>
      </c>
      <c r="M7">
        <v>7.61</v>
      </c>
      <c r="N7">
        <v>7.5</v>
      </c>
      <c r="O7">
        <v>7.36</v>
      </c>
      <c r="P7">
        <v>7.09</v>
      </c>
      <c r="Q7">
        <v>7.32</v>
      </c>
      <c r="R7" s="26">
        <f t="shared" ref="R7:R30" si="2">(L7+0.3104)/0.142</f>
        <v>57.115492957746483</v>
      </c>
      <c r="S7" s="26">
        <f t="shared" ref="S7:S13" si="3">(M7+0.3104)/0.142</f>
        <v>55.777464788732402</v>
      </c>
      <c r="T7" s="26">
        <f t="shared" ref="T7:T30" si="4">(N7+0.3104)/0.142</f>
        <v>55.002816901408451</v>
      </c>
      <c r="U7" s="26">
        <f t="shared" ref="U7:U13" si="5">(O7+0.3104)/0.142</f>
        <v>54.016901408450714</v>
      </c>
      <c r="V7" s="26">
        <f t="shared" ref="V7:V31" si="6">(P7+0.3104)/0.142</f>
        <v>52.115492957746483</v>
      </c>
      <c r="W7" s="26">
        <f t="shared" ref="W7:W15" si="7">(Q7+0.3104)/0.142</f>
        <v>53.735211267605635</v>
      </c>
      <c r="X7" s="26">
        <f t="shared" ref="X7:X30" si="8">AVERAGE(R7:S7)</f>
        <v>56.446478873239442</v>
      </c>
      <c r="Y7" s="26">
        <f t="shared" ref="Y7:Y31" si="9">AVERAGE(T7:U7)</f>
        <v>54.509859154929586</v>
      </c>
      <c r="Z7" s="26">
        <f t="shared" ref="Z7:Z31" si="10">AVERAGE(V7:W7)</f>
        <v>52.925352112676059</v>
      </c>
      <c r="AA7" s="27">
        <f t="shared" ref="AA7:AA31" si="11">AVERAGE(R7:W7)</f>
        <v>54.627230046948348</v>
      </c>
      <c r="AB7" s="27">
        <f t="shared" ref="AB7:AB31" si="12">STDEV(R7:W7)</f>
        <v>1.7396884499614618</v>
      </c>
      <c r="AF7">
        <v>8.9800000000000005E-2</v>
      </c>
    </row>
    <row r="8" spans="1:33" x14ac:dyDescent="0.25">
      <c r="A8">
        <f>24*3-2.5</f>
        <v>69.5</v>
      </c>
      <c r="B8">
        <f t="shared" si="1"/>
        <v>49</v>
      </c>
      <c r="C8">
        <v>29.06</v>
      </c>
      <c r="D8" t="s">
        <v>17</v>
      </c>
      <c r="K8" t="s">
        <v>17</v>
      </c>
      <c r="L8">
        <v>7.52</v>
      </c>
      <c r="M8">
        <v>7.65</v>
      </c>
      <c r="N8">
        <v>7.22</v>
      </c>
      <c r="O8">
        <v>7.64</v>
      </c>
      <c r="P8">
        <v>7.82</v>
      </c>
      <c r="Q8">
        <v>7.62</v>
      </c>
      <c r="R8" s="26">
        <f t="shared" si="2"/>
        <v>55.143661971830987</v>
      </c>
      <c r="S8" s="26">
        <f t="shared" si="3"/>
        <v>56.059154929577467</v>
      </c>
      <c r="T8" s="26">
        <f t="shared" si="4"/>
        <v>53.030985915492963</v>
      </c>
      <c r="U8" s="26">
        <f t="shared" si="5"/>
        <v>55.988732394366203</v>
      </c>
      <c r="V8" s="26">
        <f t="shared" si="6"/>
        <v>57.256338028169019</v>
      </c>
      <c r="W8" s="26">
        <f t="shared" si="7"/>
        <v>55.847887323943674</v>
      </c>
      <c r="X8" s="26">
        <f t="shared" si="8"/>
        <v>55.601408450704227</v>
      </c>
      <c r="Y8" s="26">
        <f t="shared" si="9"/>
        <v>54.509859154929586</v>
      </c>
      <c r="Z8" s="26">
        <f t="shared" si="10"/>
        <v>56.552112676056346</v>
      </c>
      <c r="AA8" s="27">
        <f t="shared" si="11"/>
        <v>55.554460093896715</v>
      </c>
      <c r="AB8" s="27">
        <f t="shared" si="12"/>
        <v>1.4115576061059001</v>
      </c>
      <c r="AC8">
        <f>(X6-X8)/49</f>
        <v>9.0543259557344297E-2</v>
      </c>
      <c r="AD8">
        <f>(Y6-Y8)/49</f>
        <v>0.11281977579764309</v>
      </c>
      <c r="AE8">
        <f>(Z6-Z8)/49</f>
        <v>7.114113250934187E-2</v>
      </c>
      <c r="AF8" s="33">
        <f>AVERAGE(AC8:AE8)</f>
        <v>9.1501389288109761E-2</v>
      </c>
      <c r="AG8" s="33">
        <f>STDEV(AC8:AE8)</f>
        <v>2.0855834579898563E-2</v>
      </c>
    </row>
    <row r="9" spans="1:33" x14ac:dyDescent="0.25">
      <c r="A9">
        <f>24*4-3</f>
        <v>93</v>
      </c>
      <c r="B9">
        <f t="shared" si="1"/>
        <v>72.5</v>
      </c>
      <c r="C9">
        <v>30.06</v>
      </c>
      <c r="D9" t="s">
        <v>18</v>
      </c>
      <c r="K9" t="s">
        <v>18</v>
      </c>
      <c r="L9">
        <v>4.26</v>
      </c>
      <c r="M9">
        <v>4.01</v>
      </c>
      <c r="N9">
        <v>4.05</v>
      </c>
      <c r="O9">
        <v>3.97</v>
      </c>
      <c r="P9">
        <v>3.25</v>
      </c>
      <c r="Q9">
        <v>3.52</v>
      </c>
      <c r="R9" s="26">
        <f t="shared" si="2"/>
        <v>32.185915492957747</v>
      </c>
      <c r="S9" s="26">
        <f t="shared" si="3"/>
        <v>30.425352112676055</v>
      </c>
      <c r="T9" s="26">
        <f t="shared" si="4"/>
        <v>30.707042253521131</v>
      </c>
      <c r="U9" s="26">
        <f t="shared" si="5"/>
        <v>30.143661971830991</v>
      </c>
      <c r="V9" s="26">
        <f t="shared" si="6"/>
        <v>25.073239436619719</v>
      </c>
      <c r="W9" s="26">
        <f t="shared" si="7"/>
        <v>26.974647887323947</v>
      </c>
      <c r="X9" s="26">
        <f t="shared" si="8"/>
        <v>31.305633802816899</v>
      </c>
      <c r="Y9" s="26">
        <f t="shared" si="9"/>
        <v>30.425352112676059</v>
      </c>
      <c r="Z9" s="26">
        <f t="shared" si="10"/>
        <v>26.023943661971835</v>
      </c>
      <c r="AA9" s="27">
        <f t="shared" si="11"/>
        <v>29.25164319248827</v>
      </c>
      <c r="AB9" s="27">
        <f t="shared" si="12"/>
        <v>2.6662781572440264</v>
      </c>
    </row>
    <row r="10" spans="1:33" hidden="1" x14ac:dyDescent="0.25">
      <c r="B10">
        <f t="shared" si="1"/>
        <v>-20.5</v>
      </c>
      <c r="C10">
        <v>30.06</v>
      </c>
      <c r="D10" t="s">
        <v>18</v>
      </c>
      <c r="K10" t="s">
        <v>17</v>
      </c>
      <c r="R10" s="26">
        <f t="shared" si="2"/>
        <v>2.1859154929577467</v>
      </c>
      <c r="S10" s="26">
        <f t="shared" si="3"/>
        <v>2.1859154929577467</v>
      </c>
      <c r="T10" s="26">
        <f t="shared" si="4"/>
        <v>2.1859154929577467</v>
      </c>
      <c r="U10" s="26">
        <f t="shared" si="5"/>
        <v>2.1859154929577467</v>
      </c>
      <c r="V10" s="26">
        <f t="shared" si="6"/>
        <v>2.1859154929577467</v>
      </c>
      <c r="W10" s="26">
        <f t="shared" si="7"/>
        <v>2.1859154929577467</v>
      </c>
      <c r="X10" s="26">
        <f t="shared" si="8"/>
        <v>2.1859154929577467</v>
      </c>
      <c r="Y10" s="26">
        <f t="shared" si="9"/>
        <v>2.1859154929577467</v>
      </c>
      <c r="Z10" s="26">
        <f t="shared" si="10"/>
        <v>2.1859154929577467</v>
      </c>
      <c r="AA10" s="27">
        <f t="shared" si="11"/>
        <v>2.1859154929577467</v>
      </c>
      <c r="AB10" s="27">
        <f t="shared" si="12"/>
        <v>0</v>
      </c>
    </row>
    <row r="11" spans="1:33" x14ac:dyDescent="0.25">
      <c r="A11">
        <f>6*24-6</f>
        <v>138</v>
      </c>
      <c r="B11">
        <f t="shared" si="1"/>
        <v>117.5</v>
      </c>
      <c r="C11" t="s">
        <v>20</v>
      </c>
      <c r="D11" t="s">
        <v>21</v>
      </c>
      <c r="K11" t="s">
        <v>21</v>
      </c>
      <c r="L11">
        <v>0.31</v>
      </c>
      <c r="M11">
        <v>0.34</v>
      </c>
      <c r="N11">
        <v>0.46</v>
      </c>
      <c r="O11">
        <v>0.6</v>
      </c>
      <c r="P11">
        <v>0.31</v>
      </c>
      <c r="Q11">
        <v>0.35</v>
      </c>
      <c r="R11" s="26">
        <f t="shared" si="2"/>
        <v>4.3690140845070431</v>
      </c>
      <c r="S11" s="26">
        <f t="shared" si="3"/>
        <v>4.5802816901408461</v>
      </c>
      <c r="T11" s="26">
        <f t="shared" si="4"/>
        <v>5.4253521126760562</v>
      </c>
      <c r="U11" s="26">
        <f t="shared" si="5"/>
        <v>6.4112676056338032</v>
      </c>
      <c r="V11" s="26">
        <f t="shared" si="6"/>
        <v>4.3690140845070431</v>
      </c>
      <c r="W11" s="26">
        <f t="shared" si="7"/>
        <v>4.6507042253521131</v>
      </c>
      <c r="X11" s="26">
        <f t="shared" si="8"/>
        <v>4.474647887323945</v>
      </c>
      <c r="Y11" s="26">
        <f t="shared" si="9"/>
        <v>5.9183098591549292</v>
      </c>
      <c r="Z11" s="26">
        <f t="shared" si="10"/>
        <v>4.5098591549295781</v>
      </c>
      <c r="AA11" s="27">
        <f t="shared" si="11"/>
        <v>4.9676056338028181</v>
      </c>
      <c r="AB11" s="27">
        <f t="shared" si="12"/>
        <v>0.80755950289997491</v>
      </c>
      <c r="AC11">
        <f>(X6-X11)/117.5</f>
        <v>0.472879832184597</v>
      </c>
      <c r="AD11">
        <f>(Y6-Y11)/117.5</f>
        <v>0.46059334731795037</v>
      </c>
      <c r="AE11">
        <f>(Z6-Z11)/117.5</f>
        <v>0.47258016182199591</v>
      </c>
      <c r="AF11" s="33">
        <f>AVERAGE(AC11:AE11)</f>
        <v>0.46868444710818108</v>
      </c>
      <c r="AG11" s="33">
        <f>STDEV(AC11:AE11)</f>
        <v>7.008699768370672E-3</v>
      </c>
    </row>
    <row r="12" spans="1:33" x14ac:dyDescent="0.25">
      <c r="A12">
        <f>6*24+2</f>
        <v>146</v>
      </c>
      <c r="B12">
        <f t="shared" si="1"/>
        <v>125.5</v>
      </c>
      <c r="C12" t="s">
        <v>20</v>
      </c>
      <c r="D12" t="s">
        <v>24</v>
      </c>
      <c r="K12" t="s">
        <v>24</v>
      </c>
      <c r="L12">
        <v>2.9000000000000001E-2</v>
      </c>
      <c r="M12">
        <v>4.2999999999999997E-2</v>
      </c>
      <c r="N12">
        <v>4.2999999999999997E-2</v>
      </c>
      <c r="O12">
        <v>4.2999999999999997E-2</v>
      </c>
      <c r="P12">
        <v>9.1999999999999998E-2</v>
      </c>
      <c r="Q12">
        <v>5.2999999999999999E-2</v>
      </c>
      <c r="R12" s="26">
        <f t="shared" si="2"/>
        <v>2.3901408450704231</v>
      </c>
      <c r="S12" s="26">
        <f t="shared" si="3"/>
        <v>2.4887323943661972</v>
      </c>
      <c r="T12" s="26">
        <f t="shared" si="4"/>
        <v>2.4887323943661972</v>
      </c>
      <c r="U12" s="26">
        <f t="shared" si="5"/>
        <v>2.4887323943661972</v>
      </c>
      <c r="V12" s="26">
        <f t="shared" si="6"/>
        <v>2.8338028169014087</v>
      </c>
      <c r="W12" s="26">
        <f t="shared" si="7"/>
        <v>2.5591549295774652</v>
      </c>
      <c r="X12" s="26">
        <f t="shared" si="8"/>
        <v>2.4394366197183102</v>
      </c>
      <c r="Y12" s="26">
        <f t="shared" si="9"/>
        <v>2.4887323943661972</v>
      </c>
      <c r="Z12" s="26">
        <f t="shared" si="10"/>
        <v>2.6964788732394371</v>
      </c>
      <c r="AA12" s="27">
        <f t="shared" si="11"/>
        <v>2.5415492957746482</v>
      </c>
      <c r="AB12" s="27">
        <f t="shared" si="12"/>
        <v>0.15298070016862425</v>
      </c>
    </row>
    <row r="13" spans="1:33" x14ac:dyDescent="0.25">
      <c r="A13">
        <v>0</v>
      </c>
      <c r="B13" t="s">
        <v>42</v>
      </c>
      <c r="C13" t="s">
        <v>20</v>
      </c>
      <c r="D13" t="s">
        <v>24</v>
      </c>
      <c r="K13" t="s">
        <v>24</v>
      </c>
      <c r="L13" s="21">
        <f>0.396*40</f>
        <v>15.84</v>
      </c>
      <c r="M13" s="21">
        <f>0.397*40</f>
        <v>15.88</v>
      </c>
      <c r="N13" s="21">
        <f>0.396*40</f>
        <v>15.84</v>
      </c>
      <c r="O13" s="21">
        <f>0.397*40</f>
        <v>15.88</v>
      </c>
      <c r="P13" s="21">
        <f>0.396*40</f>
        <v>15.84</v>
      </c>
      <c r="Q13" s="21">
        <f>0.397*40</f>
        <v>15.88</v>
      </c>
      <c r="R13" s="26">
        <f t="shared" si="2"/>
        <v>113.73521126760565</v>
      </c>
      <c r="S13" s="26">
        <f t="shared" si="3"/>
        <v>114.01690140845072</v>
      </c>
      <c r="T13" s="26">
        <f t="shared" si="4"/>
        <v>113.73521126760565</v>
      </c>
      <c r="U13" s="26">
        <f t="shared" si="5"/>
        <v>114.01690140845072</v>
      </c>
      <c r="V13" s="26">
        <f t="shared" si="6"/>
        <v>113.73521126760565</v>
      </c>
      <c r="W13" s="26">
        <f t="shared" si="7"/>
        <v>114.01690140845072</v>
      </c>
      <c r="X13" s="26">
        <f t="shared" si="8"/>
        <v>113.87605633802818</v>
      </c>
      <c r="Y13" s="26">
        <f t="shared" si="9"/>
        <v>113.87605633802818</v>
      </c>
      <c r="Z13" s="26">
        <f t="shared" si="10"/>
        <v>113.87605633802818</v>
      </c>
      <c r="AA13" s="27">
        <f t="shared" si="11"/>
        <v>113.87605633802819</v>
      </c>
      <c r="AB13" s="27">
        <f t="shared" si="12"/>
        <v>0.1542880443676532</v>
      </c>
    </row>
    <row r="14" spans="1:33" x14ac:dyDescent="0.25">
      <c r="A14">
        <f>44</f>
        <v>44</v>
      </c>
      <c r="B14" t="s">
        <v>41</v>
      </c>
      <c r="C14">
        <v>3.07</v>
      </c>
      <c r="D14" t="s">
        <v>25</v>
      </c>
      <c r="K14" t="s">
        <v>25</v>
      </c>
      <c r="L14">
        <v>2.62</v>
      </c>
      <c r="N14">
        <v>2.98</v>
      </c>
      <c r="P14">
        <v>1.23</v>
      </c>
      <c r="Q14">
        <v>1.1299999999999999</v>
      </c>
      <c r="R14" s="26">
        <f t="shared" si="2"/>
        <v>20.636619718309863</v>
      </c>
      <c r="S14" s="26"/>
      <c r="T14" s="26">
        <f t="shared" si="4"/>
        <v>23.171830985915495</v>
      </c>
      <c r="U14" s="26"/>
      <c r="V14" s="26">
        <f t="shared" si="6"/>
        <v>10.847887323943663</v>
      </c>
      <c r="W14" s="26">
        <f t="shared" si="7"/>
        <v>10.143661971830985</v>
      </c>
      <c r="X14" s="26">
        <f t="shared" si="8"/>
        <v>20.636619718309863</v>
      </c>
      <c r="Y14" s="26">
        <f t="shared" si="9"/>
        <v>23.171830985915495</v>
      </c>
      <c r="Z14" s="26">
        <f t="shared" si="10"/>
        <v>10.495774647887323</v>
      </c>
      <c r="AA14" s="27">
        <f t="shared" si="11"/>
        <v>16.2</v>
      </c>
      <c r="AB14" s="27">
        <f t="shared" si="12"/>
        <v>6.6736886909144078</v>
      </c>
      <c r="AC14">
        <f>(X13-X14)/44</f>
        <v>2.1190781049935983</v>
      </c>
      <c r="AD14">
        <f>(Y13-Y14)/44</f>
        <v>2.0614596670934699</v>
      </c>
      <c r="AE14">
        <f>(Z13-Z14)/44</f>
        <v>2.3495518565941107</v>
      </c>
      <c r="AF14" s="32">
        <f>AVERAGE(AC14:AE14)</f>
        <v>2.1766965428937262</v>
      </c>
      <c r="AG14" s="32">
        <f>STDEV(AC14:AE14)</f>
        <v>0.15244405761575772</v>
      </c>
    </row>
    <row r="15" spans="1:33" x14ac:dyDescent="0.25">
      <c r="A15">
        <f>A14+22.75</f>
        <v>66.75</v>
      </c>
      <c r="C15">
        <v>4.07</v>
      </c>
      <c r="D15" t="s">
        <v>26</v>
      </c>
      <c r="K15" t="s">
        <v>26</v>
      </c>
      <c r="L15">
        <v>0.36799999999999999</v>
      </c>
      <c r="N15">
        <v>0.441</v>
      </c>
      <c r="P15">
        <v>0.03</v>
      </c>
      <c r="Q15">
        <v>0.01</v>
      </c>
      <c r="R15" s="26">
        <f t="shared" si="2"/>
        <v>4.7774647887323951</v>
      </c>
      <c r="S15" s="26"/>
      <c r="T15" s="26">
        <f t="shared" si="4"/>
        <v>5.2915492957746491</v>
      </c>
      <c r="U15" s="26"/>
      <c r="V15" s="26">
        <f t="shared" si="6"/>
        <v>2.3971830985915497</v>
      </c>
      <c r="W15" s="26">
        <f t="shared" si="7"/>
        <v>2.2563380281690146</v>
      </c>
      <c r="X15" s="26">
        <f t="shared" si="8"/>
        <v>4.7774647887323951</v>
      </c>
      <c r="Y15" s="26">
        <f t="shared" si="9"/>
        <v>5.2915492957746491</v>
      </c>
      <c r="Z15" s="26">
        <f t="shared" si="10"/>
        <v>2.3267605633802821</v>
      </c>
      <c r="AA15" s="27">
        <f t="shared" si="11"/>
        <v>3.6806338028169021</v>
      </c>
      <c r="AB15" s="27">
        <f t="shared" si="12"/>
        <v>1.5783906467213189</v>
      </c>
    </row>
    <row r="16" spans="1:33" x14ac:dyDescent="0.25">
      <c r="A16">
        <f>24*3+1.5</f>
        <v>73.5</v>
      </c>
      <c r="C16">
        <v>4.07</v>
      </c>
      <c r="D16" t="s">
        <v>27</v>
      </c>
      <c r="K16" t="s">
        <v>27</v>
      </c>
      <c r="L16">
        <v>6.0999999999999999E-2</v>
      </c>
      <c r="N16">
        <v>0.114</v>
      </c>
      <c r="P16">
        <v>6.0999999999999999E-2</v>
      </c>
      <c r="R16" s="26">
        <f t="shared" si="2"/>
        <v>2.6154929577464792</v>
      </c>
      <c r="S16" s="26"/>
      <c r="T16" s="26">
        <f t="shared" si="4"/>
        <v>2.9887323943661976</v>
      </c>
      <c r="U16" s="26"/>
      <c r="V16" s="26">
        <f t="shared" si="6"/>
        <v>2.6154929577464792</v>
      </c>
      <c r="W16" s="26"/>
      <c r="X16" s="26">
        <f t="shared" si="8"/>
        <v>2.6154929577464792</v>
      </c>
      <c r="Y16" s="26">
        <f t="shared" si="9"/>
        <v>2.9887323943661976</v>
      </c>
      <c r="Z16" s="26">
        <f t="shared" si="10"/>
        <v>2.6154929577464792</v>
      </c>
      <c r="AA16" s="27">
        <f t="shared" si="11"/>
        <v>2.7399061032863852</v>
      </c>
      <c r="AB16" s="27">
        <f t="shared" si="12"/>
        <v>0.21548988920457871</v>
      </c>
    </row>
    <row r="17" spans="1:33" x14ac:dyDescent="0.25">
      <c r="A17">
        <v>0</v>
      </c>
      <c r="C17">
        <v>4.07</v>
      </c>
      <c r="D17" t="s">
        <v>28</v>
      </c>
      <c r="K17" t="s">
        <v>28</v>
      </c>
      <c r="L17" s="2">
        <f t="shared" ref="L17:Q17" si="13">0.396*40</f>
        <v>15.84</v>
      </c>
      <c r="M17" s="2">
        <f t="shared" si="13"/>
        <v>15.84</v>
      </c>
      <c r="N17" s="2">
        <f t="shared" si="13"/>
        <v>15.84</v>
      </c>
      <c r="O17" s="2">
        <f t="shared" si="13"/>
        <v>15.84</v>
      </c>
      <c r="P17" s="2">
        <f t="shared" si="13"/>
        <v>15.84</v>
      </c>
      <c r="Q17" s="2">
        <f t="shared" si="13"/>
        <v>15.84</v>
      </c>
      <c r="R17" s="26">
        <f t="shared" si="2"/>
        <v>113.73521126760565</v>
      </c>
      <c r="S17" s="26">
        <f>(M17+0.3104)/0.142</f>
        <v>113.73521126760565</v>
      </c>
      <c r="T17" s="26">
        <f t="shared" si="4"/>
        <v>113.73521126760565</v>
      </c>
      <c r="U17" s="26">
        <f>(O17+0.3104)/0.142</f>
        <v>113.73521126760565</v>
      </c>
      <c r="V17" s="26">
        <f t="shared" si="6"/>
        <v>113.73521126760565</v>
      </c>
      <c r="W17" s="26">
        <f>(Q17+0.3104)/0.142</f>
        <v>113.73521126760565</v>
      </c>
      <c r="X17" s="26">
        <f t="shared" si="8"/>
        <v>113.73521126760565</v>
      </c>
      <c r="Y17" s="26">
        <f t="shared" si="9"/>
        <v>113.73521126760565</v>
      </c>
      <c r="Z17" s="26">
        <f t="shared" si="10"/>
        <v>113.73521126760565</v>
      </c>
      <c r="AA17" s="27">
        <f t="shared" si="11"/>
        <v>113.73521126760566</v>
      </c>
      <c r="AB17" s="27">
        <f t="shared" si="12"/>
        <v>1.556721137788958E-14</v>
      </c>
    </row>
    <row r="18" spans="1:33" x14ac:dyDescent="0.25">
      <c r="A18">
        <f>24-6.5</f>
        <v>17.5</v>
      </c>
      <c r="C18">
        <v>5.07</v>
      </c>
      <c r="D18" t="s">
        <v>18</v>
      </c>
      <c r="K18" t="s">
        <v>18</v>
      </c>
      <c r="L18">
        <v>11.87</v>
      </c>
      <c r="M18">
        <v>12.05</v>
      </c>
      <c r="N18">
        <v>11.69</v>
      </c>
      <c r="P18">
        <v>12.4</v>
      </c>
      <c r="R18" s="26">
        <f t="shared" si="2"/>
        <v>85.777464788732388</v>
      </c>
      <c r="S18" s="26">
        <f>(M18+0.3104)/0.142</f>
        <v>87.045070422535218</v>
      </c>
      <c r="T18" s="26">
        <f t="shared" si="4"/>
        <v>84.509859154929572</v>
      </c>
      <c r="U18" s="26"/>
      <c r="V18" s="26">
        <f t="shared" si="6"/>
        <v>89.509859154929586</v>
      </c>
      <c r="W18" s="26"/>
      <c r="X18" s="26">
        <f t="shared" si="8"/>
        <v>86.41126760563381</v>
      </c>
      <c r="Y18" s="26">
        <f t="shared" si="9"/>
        <v>84.509859154929572</v>
      </c>
      <c r="Z18" s="26">
        <f t="shared" si="10"/>
        <v>89.509859154929586</v>
      </c>
      <c r="AA18" s="27">
        <f>AVERAGE(R18:W18)</f>
        <v>86.710563380281698</v>
      </c>
      <c r="AB18" s="27">
        <f t="shared" si="12"/>
        <v>2.133988742887579</v>
      </c>
    </row>
    <row r="19" spans="1:33" x14ac:dyDescent="0.25">
      <c r="A19">
        <f>48-3.5</f>
        <v>44.5</v>
      </c>
      <c r="C19">
        <v>6.07</v>
      </c>
      <c r="D19" t="s">
        <v>14</v>
      </c>
      <c r="K19" t="s">
        <v>14</v>
      </c>
      <c r="L19">
        <v>3.75</v>
      </c>
      <c r="N19">
        <v>4</v>
      </c>
      <c r="P19">
        <v>4.83</v>
      </c>
      <c r="R19" s="26">
        <f t="shared" si="2"/>
        <v>28.594366197183099</v>
      </c>
      <c r="S19" s="26"/>
      <c r="T19" s="26">
        <f t="shared" si="4"/>
        <v>30.354929577464787</v>
      </c>
      <c r="U19" s="26"/>
      <c r="V19" s="26">
        <f t="shared" si="6"/>
        <v>36.200000000000003</v>
      </c>
      <c r="W19" s="26"/>
      <c r="X19" s="26">
        <f t="shared" si="8"/>
        <v>28.594366197183099</v>
      </c>
      <c r="Y19" s="26">
        <f t="shared" si="9"/>
        <v>30.354929577464787</v>
      </c>
      <c r="Z19" s="26">
        <f t="shared" si="10"/>
        <v>36.200000000000003</v>
      </c>
      <c r="AA19" s="27">
        <f t="shared" si="11"/>
        <v>31.716431924882631</v>
      </c>
      <c r="AB19" s="27">
        <f t="shared" si="12"/>
        <v>3.9814171933063811</v>
      </c>
      <c r="AC19">
        <f>(X17-X19)/44.5</f>
        <v>1.9132774173128664</v>
      </c>
      <c r="AD19">
        <f>(Y17-Y19)/44.5</f>
        <v>1.8737141952840644</v>
      </c>
      <c r="AE19">
        <f>(Z17-Z19)/44.5</f>
        <v>1.7423642981484415</v>
      </c>
      <c r="AF19" s="32">
        <f>AVERAGE(AC19:AE19)</f>
        <v>1.843118636915124</v>
      </c>
      <c r="AG19" s="32">
        <f>STDEV(AC19:AE19)</f>
        <v>8.9470049287784834E-2</v>
      </c>
    </row>
    <row r="20" spans="1:33" x14ac:dyDescent="0.25">
      <c r="A20">
        <f>3*24-6</f>
        <v>66</v>
      </c>
      <c r="C20">
        <v>7.07</v>
      </c>
      <c r="D20" t="s">
        <v>29</v>
      </c>
      <c r="K20" t="s">
        <v>29</v>
      </c>
      <c r="L20">
        <v>0.77900000000000003</v>
      </c>
      <c r="N20">
        <v>0.73299999999999998</v>
      </c>
      <c r="P20">
        <v>0.999</v>
      </c>
      <c r="R20" s="26">
        <f t="shared" si="2"/>
        <v>7.6718309859154932</v>
      </c>
      <c r="S20" s="26"/>
      <c r="T20" s="26">
        <f t="shared" si="4"/>
        <v>7.3478873239436631</v>
      </c>
      <c r="U20" s="26"/>
      <c r="V20" s="26">
        <f t="shared" si="6"/>
        <v>9.2211267605633811</v>
      </c>
      <c r="W20" s="26"/>
      <c r="X20" s="26">
        <f t="shared" si="8"/>
        <v>7.6718309859154932</v>
      </c>
      <c r="Y20" s="26">
        <f t="shared" si="9"/>
        <v>7.3478873239436631</v>
      </c>
      <c r="Z20" s="26">
        <f t="shared" si="10"/>
        <v>9.2211267605633811</v>
      </c>
      <c r="AA20" s="27">
        <f t="shared" si="11"/>
        <v>8.0802816901408452</v>
      </c>
      <c r="AB20" s="27">
        <f t="shared" si="12"/>
        <v>1.0011895325379103</v>
      </c>
    </row>
    <row r="21" spans="1:33" x14ac:dyDescent="0.25">
      <c r="A21">
        <f>24*3-1.5</f>
        <v>70.5</v>
      </c>
      <c r="C21">
        <v>7.07</v>
      </c>
      <c r="D21" t="s">
        <v>24</v>
      </c>
      <c r="K21" t="s">
        <v>24</v>
      </c>
      <c r="L21">
        <v>0.32300000000000001</v>
      </c>
      <c r="N21">
        <v>0.23400000000000001</v>
      </c>
      <c r="P21">
        <v>0.52300000000000002</v>
      </c>
      <c r="R21" s="26">
        <f t="shared" si="2"/>
        <v>4.4605633802816902</v>
      </c>
      <c r="S21" s="26"/>
      <c r="T21" s="26">
        <f t="shared" si="4"/>
        <v>3.8338028169014087</v>
      </c>
      <c r="U21" s="26"/>
      <c r="V21" s="26">
        <f t="shared" si="6"/>
        <v>5.8690140845070431</v>
      </c>
      <c r="W21" s="26"/>
      <c r="X21" s="26">
        <f t="shared" si="8"/>
        <v>4.4605633802816902</v>
      </c>
      <c r="Y21" s="26">
        <f t="shared" si="9"/>
        <v>3.8338028169014087</v>
      </c>
      <c r="Z21" s="26">
        <f t="shared" si="10"/>
        <v>5.8690140845070431</v>
      </c>
      <c r="AA21" s="27">
        <f t="shared" si="11"/>
        <v>4.7211267605633802</v>
      </c>
      <c r="AB21" s="27">
        <f t="shared" si="12"/>
        <v>1.0423248928741466</v>
      </c>
    </row>
    <row r="22" spans="1:33" x14ac:dyDescent="0.25">
      <c r="A22">
        <f>A21+24-5</f>
        <v>89.5</v>
      </c>
      <c r="C22">
        <v>8.07</v>
      </c>
      <c r="D22" t="s">
        <v>31</v>
      </c>
      <c r="K22" t="s">
        <v>18</v>
      </c>
      <c r="L22">
        <v>0</v>
      </c>
      <c r="N22">
        <v>0</v>
      </c>
      <c r="P22">
        <v>0</v>
      </c>
      <c r="R22" s="26">
        <v>0</v>
      </c>
      <c r="S22" s="26"/>
      <c r="T22" s="26">
        <v>0</v>
      </c>
      <c r="U22" s="26"/>
      <c r="V22" s="26">
        <v>0</v>
      </c>
      <c r="W22" s="26"/>
      <c r="X22" s="26">
        <f t="shared" si="8"/>
        <v>0</v>
      </c>
      <c r="Y22" s="26">
        <f t="shared" si="9"/>
        <v>0</v>
      </c>
      <c r="Z22" s="26">
        <f t="shared" si="10"/>
        <v>0</v>
      </c>
      <c r="AA22" s="27">
        <f t="shared" si="11"/>
        <v>0</v>
      </c>
      <c r="AB22" s="27">
        <f t="shared" si="12"/>
        <v>0</v>
      </c>
    </row>
    <row r="23" spans="1:33" x14ac:dyDescent="0.25">
      <c r="A23">
        <v>0</v>
      </c>
      <c r="C23">
        <v>8.07</v>
      </c>
      <c r="D23" t="s">
        <v>31</v>
      </c>
      <c r="K23" t="s">
        <v>31</v>
      </c>
      <c r="L23" s="2">
        <f>0.651*30</f>
        <v>19.53</v>
      </c>
      <c r="M23" s="2"/>
      <c r="N23" s="2">
        <f>0.673*30</f>
        <v>20.190000000000001</v>
      </c>
      <c r="O23" s="2"/>
      <c r="P23" s="2">
        <f>0.701*30</f>
        <v>21.029999999999998</v>
      </c>
      <c r="R23" s="26">
        <f t="shared" si="2"/>
        <v>139.72112676056341</v>
      </c>
      <c r="S23" s="26"/>
      <c r="T23" s="26">
        <f t="shared" si="4"/>
        <v>144.36901408450709</v>
      </c>
      <c r="U23" s="26"/>
      <c r="V23" s="26">
        <f t="shared" si="6"/>
        <v>150.28450704225352</v>
      </c>
      <c r="W23" s="26"/>
      <c r="X23" s="26">
        <f t="shared" si="8"/>
        <v>139.72112676056341</v>
      </c>
      <c r="Y23" s="26">
        <f t="shared" si="9"/>
        <v>144.36901408450709</v>
      </c>
      <c r="Z23" s="26">
        <f t="shared" si="10"/>
        <v>150.28450704225352</v>
      </c>
      <c r="AA23" s="27">
        <f t="shared" si="11"/>
        <v>144.79154929577467</v>
      </c>
      <c r="AB23" s="27">
        <f t="shared" si="12"/>
        <v>5.294351022313367</v>
      </c>
    </row>
    <row r="24" spans="1:33" x14ac:dyDescent="0.25">
      <c r="A24">
        <f>45</f>
        <v>45</v>
      </c>
      <c r="C24">
        <v>10.07</v>
      </c>
      <c r="D24" s="20" t="s">
        <v>32</v>
      </c>
      <c r="K24" s="20" t="s">
        <v>32</v>
      </c>
      <c r="L24">
        <f>0.671*20</f>
        <v>13.420000000000002</v>
      </c>
      <c r="N24">
        <f>0.826*20</f>
        <v>16.52</v>
      </c>
      <c r="P24">
        <f>0.745*20</f>
        <v>14.9</v>
      </c>
      <c r="R24" s="26">
        <f t="shared" si="2"/>
        <v>96.692957746478896</v>
      </c>
      <c r="S24" s="26"/>
      <c r="T24" s="26">
        <f t="shared" si="4"/>
        <v>118.52394366197184</v>
      </c>
      <c r="U24" s="26"/>
      <c r="V24" s="26">
        <f t="shared" si="6"/>
        <v>107.11549295774648</v>
      </c>
      <c r="W24" s="26"/>
      <c r="X24" s="26">
        <f t="shared" si="8"/>
        <v>96.692957746478896</v>
      </c>
      <c r="Y24" s="26">
        <f t="shared" si="9"/>
        <v>118.52394366197184</v>
      </c>
      <c r="Z24" s="26">
        <f t="shared" si="10"/>
        <v>107.11549295774648</v>
      </c>
      <c r="AA24" s="27">
        <f t="shared" si="11"/>
        <v>107.44413145539907</v>
      </c>
      <c r="AB24" s="27">
        <f t="shared" si="12"/>
        <v>10.919202761979346</v>
      </c>
    </row>
    <row r="25" spans="1:33" x14ac:dyDescent="0.25">
      <c r="A25">
        <f>4*24-5</f>
        <v>91</v>
      </c>
      <c r="C25">
        <v>12.07</v>
      </c>
      <c r="D25" s="20" t="s">
        <v>33</v>
      </c>
      <c r="K25" s="20" t="s">
        <v>33</v>
      </c>
      <c r="L25">
        <f>0.051*20</f>
        <v>1.02</v>
      </c>
      <c r="N25">
        <f>0.184*20</f>
        <v>3.6799999999999997</v>
      </c>
      <c r="P25">
        <f>0.141*20</f>
        <v>2.82</v>
      </c>
      <c r="R25" s="26">
        <f t="shared" si="2"/>
        <v>9.3690140845070431</v>
      </c>
      <c r="S25" s="26"/>
      <c r="T25" s="26">
        <f t="shared" si="4"/>
        <v>28.101408450704227</v>
      </c>
      <c r="U25" s="26"/>
      <c r="V25" s="26">
        <f t="shared" si="6"/>
        <v>22.045070422535211</v>
      </c>
      <c r="W25" s="26"/>
      <c r="X25" s="26">
        <f t="shared" si="8"/>
        <v>9.3690140845070431</v>
      </c>
      <c r="Y25" s="26">
        <f t="shared" si="9"/>
        <v>28.101408450704227</v>
      </c>
      <c r="Z25" s="26">
        <f t="shared" si="10"/>
        <v>22.045070422535211</v>
      </c>
      <c r="AA25" s="27">
        <f t="shared" si="11"/>
        <v>19.838497652582159</v>
      </c>
      <c r="AB25" s="27">
        <f t="shared" si="12"/>
        <v>9.5591512287706628</v>
      </c>
    </row>
    <row r="26" spans="1:33" x14ac:dyDescent="0.25">
      <c r="A26">
        <f>24*5</f>
        <v>120</v>
      </c>
      <c r="C26">
        <v>13.07</v>
      </c>
      <c r="D26">
        <v>1600</v>
      </c>
      <c r="K26">
        <v>1600</v>
      </c>
      <c r="L26">
        <v>0</v>
      </c>
      <c r="N26">
        <v>1.645</v>
      </c>
      <c r="P26">
        <v>0.86799999999999999</v>
      </c>
      <c r="R26" s="26">
        <f t="shared" si="2"/>
        <v>2.1859154929577467</v>
      </c>
      <c r="S26" s="26"/>
      <c r="T26" s="26">
        <f t="shared" si="4"/>
        <v>13.770422535211269</v>
      </c>
      <c r="U26" s="26"/>
      <c r="V26" s="26">
        <f t="shared" si="6"/>
        <v>8.2985915492957751</v>
      </c>
      <c r="W26" s="26"/>
      <c r="X26" s="26">
        <f t="shared" si="8"/>
        <v>2.1859154929577467</v>
      </c>
      <c r="Y26" s="26">
        <f t="shared" si="9"/>
        <v>13.770422535211269</v>
      </c>
      <c r="Z26" s="26">
        <f t="shared" si="10"/>
        <v>8.2985915492957751</v>
      </c>
      <c r="AA26" s="27">
        <f t="shared" si="11"/>
        <v>8.0849765258215971</v>
      </c>
      <c r="AB26" s="27">
        <f t="shared" si="12"/>
        <v>5.7952070184503111</v>
      </c>
    </row>
    <row r="27" spans="1:33" x14ac:dyDescent="0.25">
      <c r="A27">
        <v>0</v>
      </c>
      <c r="B27" t="s">
        <v>34</v>
      </c>
      <c r="C27">
        <v>13.07</v>
      </c>
      <c r="D27">
        <v>1700</v>
      </c>
      <c r="K27">
        <v>1700</v>
      </c>
      <c r="L27" s="2">
        <f>0.982*40</f>
        <v>39.28</v>
      </c>
      <c r="M27" s="2"/>
      <c r="N27" s="2">
        <f>0.975*40</f>
        <v>39</v>
      </c>
      <c r="O27" s="2"/>
      <c r="P27" s="2">
        <f>0.977*40</f>
        <v>39.08</v>
      </c>
      <c r="R27" s="26">
        <f t="shared" si="2"/>
        <v>278.80563380281694</v>
      </c>
      <c r="S27" s="26"/>
      <c r="T27" s="26">
        <f t="shared" si="4"/>
        <v>276.83380281690143</v>
      </c>
      <c r="U27" s="26"/>
      <c r="V27" s="26">
        <f t="shared" si="6"/>
        <v>277.3971830985916</v>
      </c>
      <c r="W27" s="26"/>
      <c r="X27" s="26">
        <f t="shared" si="8"/>
        <v>278.80563380281694</v>
      </c>
      <c r="Y27" s="26">
        <f t="shared" si="9"/>
        <v>276.83380281690143</v>
      </c>
      <c r="Z27" s="26">
        <f t="shared" si="10"/>
        <v>277.3971830985916</v>
      </c>
      <c r="AA27" s="27">
        <f t="shared" si="11"/>
        <v>277.67887323943665</v>
      </c>
      <c r="AB27" s="27">
        <f t="shared" si="12"/>
        <v>1.0156482466095835</v>
      </c>
    </row>
    <row r="28" spans="1:33" x14ac:dyDescent="0.25">
      <c r="A28">
        <f>23.5</f>
        <v>23.5</v>
      </c>
      <c r="C28">
        <v>14.07</v>
      </c>
      <c r="D28" t="s">
        <v>35</v>
      </c>
      <c r="K28" t="s">
        <v>35</v>
      </c>
      <c r="L28">
        <f>0.913*40</f>
        <v>36.520000000000003</v>
      </c>
      <c r="N28">
        <f>0.921*40</f>
        <v>36.840000000000003</v>
      </c>
      <c r="P28">
        <f>0.91*40</f>
        <v>36.4</v>
      </c>
      <c r="R28" s="26">
        <f t="shared" si="2"/>
        <v>259.36901408450711</v>
      </c>
      <c r="S28" s="26"/>
      <c r="T28" s="26">
        <f t="shared" si="4"/>
        <v>261.62253521126769</v>
      </c>
      <c r="U28" s="26"/>
      <c r="V28" s="26">
        <f t="shared" si="6"/>
        <v>258.52394366197183</v>
      </c>
      <c r="W28" s="26"/>
      <c r="X28" s="26">
        <f t="shared" si="8"/>
        <v>259.36901408450711</v>
      </c>
      <c r="Y28" s="26">
        <f t="shared" si="9"/>
        <v>261.62253521126769</v>
      </c>
      <c r="Z28" s="26">
        <f t="shared" si="10"/>
        <v>258.52394366197183</v>
      </c>
      <c r="AA28" s="27">
        <f t="shared" si="11"/>
        <v>259.83849765258219</v>
      </c>
      <c r="AB28" s="27">
        <f t="shared" si="12"/>
        <v>1.6017579445288614</v>
      </c>
      <c r="AC28">
        <f>(X27-X28)/23.5</f>
        <v>0.82709020077914164</v>
      </c>
      <c r="AD28">
        <f>(Y27-Y28)/23.5</f>
        <v>0.64728798321845682</v>
      </c>
      <c r="AE28">
        <f>(Z27-Z28)/23.5</f>
        <v>0.803116571771054</v>
      </c>
      <c r="AF28" s="32">
        <f>AVERAGE(AC28:AE28)</f>
        <v>0.75916491858955082</v>
      </c>
      <c r="AG28" s="32">
        <f>STDEV(AC28:AE28)</f>
        <v>9.7626944144408576E-2</v>
      </c>
    </row>
    <row r="29" spans="1:33" x14ac:dyDescent="0.25">
      <c r="A29">
        <f>96-5.5</f>
        <v>90.5</v>
      </c>
      <c r="C29" s="19">
        <v>42933</v>
      </c>
      <c r="D29" s="20" t="s">
        <v>36</v>
      </c>
      <c r="K29" s="20" t="s">
        <v>36</v>
      </c>
      <c r="L29">
        <f>0.435*40</f>
        <v>17.399999999999999</v>
      </c>
      <c r="N29">
        <f>0.416*40</f>
        <v>16.64</v>
      </c>
      <c r="P29">
        <f>0.557*40</f>
        <v>22.28</v>
      </c>
      <c r="R29" s="26">
        <f t="shared" si="2"/>
        <v>124.72112676056339</v>
      </c>
      <c r="S29" s="26"/>
      <c r="T29" s="26">
        <f t="shared" si="4"/>
        <v>119.36901408450707</v>
      </c>
      <c r="U29" s="26"/>
      <c r="V29" s="26">
        <f t="shared" si="6"/>
        <v>159.087323943662</v>
      </c>
      <c r="W29" s="26"/>
      <c r="X29" s="26">
        <f t="shared" si="8"/>
        <v>124.72112676056339</v>
      </c>
      <c r="Y29" s="26">
        <f t="shared" si="9"/>
        <v>119.36901408450707</v>
      </c>
      <c r="Z29" s="26">
        <f t="shared" si="10"/>
        <v>159.087323943662</v>
      </c>
      <c r="AA29" s="27">
        <f t="shared" si="11"/>
        <v>134.3924882629108</v>
      </c>
      <c r="AB29" s="27">
        <f t="shared" si="12"/>
        <v>21.553131083413014</v>
      </c>
    </row>
    <row r="30" spans="1:33" x14ac:dyDescent="0.25">
      <c r="A30">
        <f>A29+24</f>
        <v>114.5</v>
      </c>
      <c r="C30">
        <v>18.07</v>
      </c>
      <c r="K30" s="20" t="s">
        <v>36</v>
      </c>
      <c r="L30">
        <f>0.363*40</f>
        <v>14.52</v>
      </c>
      <c r="N30">
        <f>0.342*40</f>
        <v>13.680000000000001</v>
      </c>
      <c r="P30">
        <f>0.392*40</f>
        <v>15.68</v>
      </c>
      <c r="R30" s="26">
        <f t="shared" si="2"/>
        <v>104.43943661971831</v>
      </c>
      <c r="S30" s="26"/>
      <c r="T30" s="26">
        <f t="shared" si="4"/>
        <v>98.523943661971842</v>
      </c>
      <c r="U30" s="26"/>
      <c r="V30" s="26">
        <f t="shared" si="6"/>
        <v>112.60845070422536</v>
      </c>
      <c r="W30" s="26"/>
      <c r="X30" s="26">
        <f t="shared" si="8"/>
        <v>104.43943661971831</v>
      </c>
      <c r="Y30" s="26">
        <f t="shared" si="9"/>
        <v>98.523943661971842</v>
      </c>
      <c r="Z30" s="26">
        <f t="shared" si="10"/>
        <v>112.60845070422536</v>
      </c>
      <c r="AA30" s="27">
        <f t="shared" si="11"/>
        <v>105.19061032863851</v>
      </c>
      <c r="AB30" s="27">
        <f t="shared" si="12"/>
        <v>7.0722366413710978</v>
      </c>
    </row>
    <row r="31" spans="1:33" x14ac:dyDescent="0.25">
      <c r="A31">
        <f>7*24</f>
        <v>168</v>
      </c>
      <c r="C31">
        <v>21.07</v>
      </c>
      <c r="K31" t="s">
        <v>39</v>
      </c>
      <c r="L31">
        <v>4.0000000000000001E-3</v>
      </c>
      <c r="N31">
        <v>1.7999999999999999E-2</v>
      </c>
      <c r="P31">
        <v>0.66200000000000003</v>
      </c>
      <c r="R31" s="26">
        <v>0</v>
      </c>
      <c r="S31" s="26"/>
      <c r="T31" s="26">
        <v>0</v>
      </c>
      <c r="U31" s="26"/>
      <c r="V31" s="26">
        <f t="shared" si="6"/>
        <v>6.8478873239436631</v>
      </c>
      <c r="W31" s="26"/>
      <c r="X31" s="26">
        <v>0</v>
      </c>
      <c r="Y31" s="26">
        <f t="shared" si="9"/>
        <v>0</v>
      </c>
      <c r="Z31" s="26">
        <f t="shared" si="10"/>
        <v>6.8478873239436631</v>
      </c>
      <c r="AA31" s="27">
        <f t="shared" si="11"/>
        <v>2.2826291079812209</v>
      </c>
      <c r="AB31" s="27">
        <f t="shared" si="12"/>
        <v>3.9536295898591001</v>
      </c>
    </row>
    <row r="32" spans="1:33" x14ac:dyDescent="0.25">
      <c r="C32">
        <v>25.07</v>
      </c>
      <c r="K32" t="s">
        <v>40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5"/>
  <sheetViews>
    <sheetView zoomScale="70" zoomScaleNormal="70" workbookViewId="0">
      <selection activeCell="A3" sqref="A3"/>
    </sheetView>
  </sheetViews>
  <sheetFormatPr defaultRowHeight="15" x14ac:dyDescent="0.25"/>
  <cols>
    <col min="2" max="2" width="9" customWidth="1"/>
    <col min="4" max="10" width="0" hidden="1" customWidth="1"/>
  </cols>
  <sheetData>
    <row r="1" spans="1:33" ht="18.75" x14ac:dyDescent="0.3">
      <c r="A1" s="21" t="s">
        <v>44</v>
      </c>
      <c r="D1" s="2"/>
      <c r="G1" s="2"/>
      <c r="K1" s="1" t="s">
        <v>43</v>
      </c>
      <c r="L1" s="3"/>
      <c r="M1" s="3"/>
      <c r="N1" s="4"/>
      <c r="O1" s="4"/>
      <c r="P1" s="3" t="s">
        <v>53</v>
      </c>
      <c r="Q1" s="3"/>
      <c r="X1" s="5">
        <v>51.1</v>
      </c>
      <c r="Z1" s="5">
        <v>51.2</v>
      </c>
      <c r="AA1" s="6"/>
      <c r="AB1" s="5">
        <v>51.3</v>
      </c>
    </row>
    <row r="2" spans="1:33" ht="18.75" x14ac:dyDescent="0.3">
      <c r="A2" t="s">
        <v>109</v>
      </c>
      <c r="C2" s="2"/>
      <c r="F2" s="2"/>
      <c r="G2" s="2"/>
      <c r="H2" s="2"/>
      <c r="I2" s="7"/>
      <c r="L2" s="5" t="s">
        <v>103</v>
      </c>
      <c r="M2" s="8"/>
      <c r="N2" s="9"/>
      <c r="O2" s="9"/>
      <c r="P2" s="8"/>
      <c r="Q2" s="3"/>
    </row>
    <row r="3" spans="1:33" ht="18.75" x14ac:dyDescent="0.3">
      <c r="A3" s="1" t="s">
        <v>37</v>
      </c>
      <c r="C3" s="5"/>
      <c r="D3" s="5"/>
      <c r="E3" s="5"/>
      <c r="F3" s="5"/>
      <c r="G3" s="5"/>
      <c r="H3" s="5"/>
      <c r="I3" s="5"/>
      <c r="J3" s="5"/>
      <c r="K3" s="5"/>
      <c r="L3" s="5">
        <v>51.1</v>
      </c>
      <c r="N3" s="5">
        <v>51.2</v>
      </c>
      <c r="O3" s="6"/>
      <c r="P3" s="5">
        <v>51.3</v>
      </c>
      <c r="Q3" s="10"/>
      <c r="R3" t="s">
        <v>0</v>
      </c>
      <c r="T3" t="s">
        <v>1</v>
      </c>
      <c r="V3" t="s">
        <v>2</v>
      </c>
      <c r="X3" s="1" t="s">
        <v>0</v>
      </c>
      <c r="Y3" s="1" t="s">
        <v>1</v>
      </c>
      <c r="Z3" s="1" t="s">
        <v>2</v>
      </c>
      <c r="AA3" s="11"/>
      <c r="AB3" s="11"/>
    </row>
    <row r="4" spans="1:33" ht="15.75" x14ac:dyDescent="0.25">
      <c r="A4" t="s">
        <v>3</v>
      </c>
      <c r="B4" t="s">
        <v>4</v>
      </c>
      <c r="C4" s="12" t="s">
        <v>5</v>
      </c>
      <c r="D4" s="12"/>
      <c r="E4" s="12"/>
      <c r="F4" s="12"/>
      <c r="G4" s="12"/>
      <c r="H4" s="12"/>
      <c r="I4" s="13"/>
      <c r="J4" s="13"/>
      <c r="K4" s="13"/>
      <c r="L4" s="14" t="s">
        <v>6</v>
      </c>
      <c r="M4" s="14"/>
      <c r="N4" s="15" t="s">
        <v>6</v>
      </c>
      <c r="O4" s="15"/>
      <c r="P4" s="14" t="s">
        <v>6</v>
      </c>
      <c r="Q4" s="14"/>
      <c r="R4" s="16" t="s">
        <v>7</v>
      </c>
      <c r="S4" s="17"/>
      <c r="T4" s="18"/>
      <c r="U4" s="18"/>
      <c r="V4" s="18"/>
      <c r="W4" s="18"/>
      <c r="X4" t="s">
        <v>8</v>
      </c>
      <c r="Y4" t="s">
        <v>9</v>
      </c>
      <c r="Z4" t="s">
        <v>10</v>
      </c>
      <c r="AA4" s="11" t="s">
        <v>11</v>
      </c>
      <c r="AB4" s="11" t="s">
        <v>12</v>
      </c>
      <c r="AC4" s="11" t="s">
        <v>11</v>
      </c>
    </row>
    <row r="5" spans="1:33" x14ac:dyDescent="0.25">
      <c r="A5">
        <v>0</v>
      </c>
      <c r="C5" s="19" t="s">
        <v>13</v>
      </c>
      <c r="D5" t="s">
        <v>14</v>
      </c>
      <c r="K5" t="s">
        <v>14</v>
      </c>
      <c r="L5">
        <v>7.29</v>
      </c>
      <c r="M5">
        <v>7.36</v>
      </c>
      <c r="N5">
        <v>7.29</v>
      </c>
      <c r="O5">
        <v>7.36</v>
      </c>
      <c r="R5" s="26">
        <f>(L5+0.0861)/0.1178</f>
        <v>62.615449915110354</v>
      </c>
      <c r="S5" s="26">
        <f>(M5+0.0861)/0.1178</f>
        <v>63.20967741935484</v>
      </c>
      <c r="T5" s="26">
        <f>(N5+0.0861)/0.1178</f>
        <v>62.615449915110354</v>
      </c>
      <c r="U5" s="26">
        <f>(O5+0.0861)/0.1178</f>
        <v>63.20967741935484</v>
      </c>
      <c r="V5" s="26"/>
      <c r="W5" s="26"/>
      <c r="X5" s="26">
        <f>AVERAGE(R5:S5)</f>
        <v>62.912563667232597</v>
      </c>
      <c r="Y5" s="26">
        <f>AVERAGE(T5:U5)</f>
        <v>62.912563667232597</v>
      </c>
      <c r="Z5" s="26"/>
      <c r="AA5" s="27">
        <f>AVERAGE(R5:U5)</f>
        <v>62.912563667232597</v>
      </c>
      <c r="AB5" s="27">
        <f>STDEV(R5:U5)</f>
        <v>0.34307740953543364</v>
      </c>
      <c r="AC5">
        <f>100-V5/62.9*100</f>
        <v>100</v>
      </c>
    </row>
    <row r="6" spans="1:33" x14ac:dyDescent="0.25">
      <c r="A6">
        <f>24-3.5</f>
        <v>20.5</v>
      </c>
      <c r="C6">
        <v>27.06</v>
      </c>
      <c r="D6" t="s">
        <v>15</v>
      </c>
      <c r="K6" t="s">
        <v>15</v>
      </c>
      <c r="L6">
        <v>6.81</v>
      </c>
      <c r="M6">
        <v>7.01</v>
      </c>
      <c r="N6">
        <v>6.73</v>
      </c>
      <c r="O6">
        <v>6.62</v>
      </c>
      <c r="P6">
        <v>3.82</v>
      </c>
      <c r="Q6">
        <v>3.74</v>
      </c>
      <c r="R6" s="26">
        <f t="shared" ref="R6:R20" si="0">(L6+0.0861)/0.1178</f>
        <v>58.540747028862476</v>
      </c>
      <c r="S6" s="26">
        <f t="shared" ref="S6:S12" si="1">(M6+0.0861)/0.1178</f>
        <v>60.238539898132423</v>
      </c>
      <c r="T6" s="26">
        <f t="shared" ref="T6:T20" si="2">(N6+0.0861)/0.1178</f>
        <v>57.861629881154499</v>
      </c>
      <c r="U6" s="26">
        <f t="shared" ref="U6:U12" si="3">(O6+0.0861)/0.1178</f>
        <v>56.927843803056028</v>
      </c>
      <c r="V6" s="26">
        <f>AVERAGE(P6:Q6)</f>
        <v>3.7800000000000002</v>
      </c>
      <c r="W6" s="26">
        <f>STDEV(P6:Q6)</f>
        <v>5.6568542494923539E-2</v>
      </c>
      <c r="X6" s="26">
        <f>AVERAGE(R6:S6)</f>
        <v>59.38964346349745</v>
      </c>
      <c r="Y6" s="26">
        <f t="shared" ref="Y6:Y20" si="4">AVERAGE(T6:U6)</f>
        <v>57.39473684210526</v>
      </c>
      <c r="Z6" s="26"/>
      <c r="AA6" s="27">
        <f>AVERAGE(R6:U6)</f>
        <v>58.392190152801355</v>
      </c>
      <c r="AB6" s="27">
        <f t="shared" ref="AB6:AB20" si="5">STDEV(R6:U6)</f>
        <v>1.3972450228183062</v>
      </c>
      <c r="AC6">
        <f t="shared" ref="AC6:AC20" si="6">100-V6/62.9*100</f>
        <v>93.990461049284576</v>
      </c>
    </row>
    <row r="7" spans="1:33" s="34" customFormat="1" x14ac:dyDescent="0.25">
      <c r="A7" s="34">
        <f>47.5</f>
        <v>47.5</v>
      </c>
      <c r="C7" s="34">
        <v>28.06</v>
      </c>
      <c r="D7" s="34" t="s">
        <v>16</v>
      </c>
      <c r="K7" s="34" t="s">
        <v>16</v>
      </c>
      <c r="L7" s="34">
        <v>5.85</v>
      </c>
      <c r="M7" s="34">
        <v>5.77</v>
      </c>
      <c r="N7" s="34">
        <v>5.79</v>
      </c>
      <c r="O7" s="34">
        <v>5.95</v>
      </c>
      <c r="P7" s="34">
        <v>4.13</v>
      </c>
      <c r="Q7" s="34">
        <v>3.97</v>
      </c>
      <c r="R7" s="35">
        <f t="shared" si="0"/>
        <v>50.391341256366722</v>
      </c>
      <c r="S7" s="35">
        <f t="shared" si="1"/>
        <v>49.712224108658738</v>
      </c>
      <c r="T7" s="35">
        <f t="shared" si="2"/>
        <v>49.882003395585741</v>
      </c>
      <c r="U7" s="35">
        <f t="shared" si="3"/>
        <v>51.240237691001703</v>
      </c>
      <c r="V7" s="35">
        <f t="shared" ref="V7:V31" si="7">AVERAGE(P7:Q7)</f>
        <v>4.05</v>
      </c>
      <c r="W7" s="35">
        <f t="shared" ref="W7:W13" si="8">STDEV(P7:Q7)</f>
        <v>0.1131370849898474</v>
      </c>
      <c r="X7" s="35">
        <f t="shared" ref="X7:X20" si="9">AVERAGE(R7:S7)</f>
        <v>50.05178268251273</v>
      </c>
      <c r="Y7" s="35">
        <f t="shared" si="4"/>
        <v>50.561120543293725</v>
      </c>
      <c r="Z7" s="35"/>
      <c r="AA7" s="35">
        <f t="shared" ref="AA7:AA20" si="10">AVERAGE(R7:U7)</f>
        <v>50.306451612903231</v>
      </c>
      <c r="AB7" s="35">
        <f t="shared" si="5"/>
        <v>0.68615481907086573</v>
      </c>
      <c r="AC7" s="34">
        <f t="shared" si="6"/>
        <v>93.56120826709062</v>
      </c>
      <c r="AD7" s="34">
        <f>(X5-X8)/47.5</f>
        <v>1.2510052720936403E-2</v>
      </c>
      <c r="AE7" s="34">
        <f>(Y5-Y8)/47.5</f>
        <v>0.15369493342864801</v>
      </c>
      <c r="AF7" s="34">
        <f xml:space="preserve"> AVERAGE(AD7:AE7)</f>
        <v>8.3102493074792214E-2</v>
      </c>
      <c r="AG7" s="34">
        <f>STDEV(AD7:AE7)</f>
        <v>9.9832786549436628E-2</v>
      </c>
    </row>
    <row r="8" spans="1:33" x14ac:dyDescent="0.25">
      <c r="A8">
        <f>24*3-2.5</f>
        <v>69.5</v>
      </c>
      <c r="C8">
        <v>29.06</v>
      </c>
      <c r="D8" t="s">
        <v>17</v>
      </c>
      <c r="K8" t="s">
        <v>17</v>
      </c>
      <c r="L8">
        <v>7.19</v>
      </c>
      <c r="M8">
        <v>7.32</v>
      </c>
      <c r="N8">
        <v>6.58</v>
      </c>
      <c r="O8">
        <v>6.35</v>
      </c>
      <c r="P8">
        <v>4.59</v>
      </c>
      <c r="Q8">
        <v>4.38</v>
      </c>
      <c r="R8" s="26">
        <f t="shared" si="0"/>
        <v>61.766553480475388</v>
      </c>
      <c r="S8" s="26">
        <f t="shared" si="1"/>
        <v>62.870118845500848</v>
      </c>
      <c r="T8" s="26">
        <f t="shared" si="2"/>
        <v>56.588285229202036</v>
      </c>
      <c r="U8" s="26">
        <f t="shared" si="3"/>
        <v>54.635823429541595</v>
      </c>
      <c r="V8" s="26">
        <f t="shared" si="7"/>
        <v>4.4849999999999994</v>
      </c>
      <c r="W8" s="26">
        <f t="shared" si="8"/>
        <v>0.14849242404917495</v>
      </c>
      <c r="X8" s="26">
        <f t="shared" si="9"/>
        <v>62.318336162988118</v>
      </c>
      <c r="Y8" s="26">
        <f t="shared" si="4"/>
        <v>55.612054329371816</v>
      </c>
      <c r="Z8" s="26"/>
      <c r="AA8" s="27">
        <f t="shared" si="10"/>
        <v>58.965195246179967</v>
      </c>
      <c r="AB8" s="27">
        <f t="shared" si="5"/>
        <v>3.978659649886318</v>
      </c>
      <c r="AC8">
        <f t="shared" si="6"/>
        <v>92.869634340222575</v>
      </c>
    </row>
    <row r="9" spans="1:33" x14ac:dyDescent="0.25">
      <c r="A9">
        <f>24*4-3</f>
        <v>93</v>
      </c>
      <c r="C9">
        <v>30.06</v>
      </c>
      <c r="D9" t="s">
        <v>18</v>
      </c>
      <c r="K9" t="s">
        <v>18</v>
      </c>
      <c r="L9">
        <v>6.19</v>
      </c>
      <c r="M9">
        <v>6.18</v>
      </c>
      <c r="N9">
        <v>6.34</v>
      </c>
      <c r="O9">
        <v>6.41</v>
      </c>
      <c r="P9">
        <v>4.28</v>
      </c>
      <c r="Q9">
        <v>4.0999999999999996</v>
      </c>
      <c r="R9" s="26">
        <f t="shared" si="0"/>
        <v>53.277589134125641</v>
      </c>
      <c r="S9" s="26">
        <f t="shared" si="1"/>
        <v>53.192699490662136</v>
      </c>
      <c r="T9" s="26">
        <f t="shared" si="2"/>
        <v>54.550933786078097</v>
      </c>
      <c r="U9" s="26">
        <f t="shared" si="3"/>
        <v>55.145161290322584</v>
      </c>
      <c r="V9" s="26">
        <f t="shared" si="7"/>
        <v>4.1899999999999995</v>
      </c>
      <c r="W9" s="26">
        <f t="shared" si="8"/>
        <v>0.12727922061357899</v>
      </c>
      <c r="X9" s="26">
        <f t="shared" si="9"/>
        <v>53.235144312393885</v>
      </c>
      <c r="Y9" s="26">
        <f t="shared" si="4"/>
        <v>54.848047538200341</v>
      </c>
      <c r="Z9" s="26"/>
      <c r="AA9" s="27">
        <f t="shared" si="10"/>
        <v>54.041595925297116</v>
      </c>
      <c r="AB9" s="27">
        <f t="shared" si="5"/>
        <v>0.96291451766686853</v>
      </c>
      <c r="AC9">
        <f t="shared" si="6"/>
        <v>93.338632750397451</v>
      </c>
    </row>
    <row r="10" spans="1:33" ht="15" hidden="1" customHeight="1" x14ac:dyDescent="0.25">
      <c r="C10">
        <v>30.06</v>
      </c>
      <c r="D10" t="s">
        <v>18</v>
      </c>
      <c r="K10" t="s">
        <v>17</v>
      </c>
      <c r="R10" s="26">
        <f t="shared" si="0"/>
        <v>0.73089983022071303</v>
      </c>
      <c r="S10" s="26">
        <f t="shared" si="1"/>
        <v>0.73089983022071303</v>
      </c>
      <c r="T10" s="26">
        <f t="shared" si="2"/>
        <v>0.73089983022071303</v>
      </c>
      <c r="U10" s="26">
        <f t="shared" si="3"/>
        <v>0.73089983022071303</v>
      </c>
      <c r="V10" s="26" t="e">
        <f t="shared" si="7"/>
        <v>#DIV/0!</v>
      </c>
      <c r="W10" s="26" t="e">
        <f t="shared" si="8"/>
        <v>#DIV/0!</v>
      </c>
      <c r="X10" s="26">
        <f t="shared" si="9"/>
        <v>0.73089983022071303</v>
      </c>
      <c r="Y10" s="26">
        <f t="shared" si="4"/>
        <v>0.73089983022071303</v>
      </c>
      <c r="Z10" s="26"/>
      <c r="AA10" s="27">
        <f t="shared" si="10"/>
        <v>0.73089983022071303</v>
      </c>
      <c r="AB10" s="27">
        <f t="shared" si="5"/>
        <v>0</v>
      </c>
      <c r="AC10" t="e">
        <f t="shared" si="6"/>
        <v>#DIV/0!</v>
      </c>
    </row>
    <row r="11" spans="1:33" ht="15" hidden="1" customHeight="1" x14ac:dyDescent="0.25">
      <c r="R11" s="26">
        <f t="shared" si="0"/>
        <v>0.73089983022071303</v>
      </c>
      <c r="S11" s="26">
        <f t="shared" si="1"/>
        <v>0.73089983022071303</v>
      </c>
      <c r="T11" s="26">
        <f t="shared" si="2"/>
        <v>0.73089983022071303</v>
      </c>
      <c r="U11" s="26">
        <f t="shared" si="3"/>
        <v>0.73089983022071303</v>
      </c>
      <c r="V11" s="26" t="e">
        <f t="shared" si="7"/>
        <v>#DIV/0!</v>
      </c>
      <c r="W11" s="26" t="e">
        <f t="shared" si="8"/>
        <v>#DIV/0!</v>
      </c>
      <c r="X11" s="26">
        <f t="shared" si="9"/>
        <v>0.73089983022071303</v>
      </c>
      <c r="Y11" s="26">
        <f t="shared" si="4"/>
        <v>0.73089983022071303</v>
      </c>
      <c r="Z11" s="26"/>
      <c r="AA11" s="27">
        <f t="shared" si="10"/>
        <v>0.73089983022071303</v>
      </c>
      <c r="AB11" s="27">
        <f t="shared" si="5"/>
        <v>0</v>
      </c>
      <c r="AC11" t="e">
        <f t="shared" si="6"/>
        <v>#DIV/0!</v>
      </c>
    </row>
    <row r="12" spans="1:33" ht="15" hidden="1" customHeight="1" x14ac:dyDescent="0.25">
      <c r="R12" s="26">
        <f t="shared" si="0"/>
        <v>0.73089983022071303</v>
      </c>
      <c r="S12" s="26">
        <f t="shared" si="1"/>
        <v>0.73089983022071303</v>
      </c>
      <c r="T12" s="26">
        <f t="shared" si="2"/>
        <v>0.73089983022071303</v>
      </c>
      <c r="U12" s="26">
        <f t="shared" si="3"/>
        <v>0.73089983022071303</v>
      </c>
      <c r="V12" s="26" t="e">
        <f t="shared" si="7"/>
        <v>#DIV/0!</v>
      </c>
      <c r="W12" s="26" t="e">
        <f t="shared" si="8"/>
        <v>#DIV/0!</v>
      </c>
      <c r="X12" s="26">
        <f t="shared" si="9"/>
        <v>0.73089983022071303</v>
      </c>
      <c r="Y12" s="26">
        <f t="shared" si="4"/>
        <v>0.73089983022071303</v>
      </c>
      <c r="Z12" s="26"/>
      <c r="AA12" s="27">
        <f t="shared" si="10"/>
        <v>0.73089983022071303</v>
      </c>
      <c r="AB12" s="27">
        <f t="shared" si="5"/>
        <v>0</v>
      </c>
      <c r="AC12" t="e">
        <f t="shared" si="6"/>
        <v>#DIV/0!</v>
      </c>
    </row>
    <row r="13" spans="1:33" x14ac:dyDescent="0.25">
      <c r="A13">
        <f>5*24-6</f>
        <v>114</v>
      </c>
      <c r="C13" t="s">
        <v>20</v>
      </c>
      <c r="D13" t="s">
        <v>24</v>
      </c>
      <c r="K13" t="s">
        <v>24</v>
      </c>
      <c r="L13">
        <v>6.66</v>
      </c>
      <c r="N13">
        <v>6.99</v>
      </c>
      <c r="P13">
        <v>4.26</v>
      </c>
      <c r="Q13">
        <v>4.3499999999999996</v>
      </c>
      <c r="R13" s="26">
        <f t="shared" si="0"/>
        <v>57.26740237691002</v>
      </c>
      <c r="S13" s="26"/>
      <c r="T13" s="26">
        <f t="shared" si="2"/>
        <v>60.068760611205434</v>
      </c>
      <c r="U13" s="26"/>
      <c r="V13" s="26">
        <f t="shared" si="7"/>
        <v>4.3049999999999997</v>
      </c>
      <c r="W13" s="26">
        <f t="shared" si="8"/>
        <v>6.3639610306789177E-2</v>
      </c>
      <c r="X13" s="26">
        <f t="shared" si="9"/>
        <v>57.26740237691002</v>
      </c>
      <c r="Y13" s="26">
        <f t="shared" si="4"/>
        <v>60.068760611205434</v>
      </c>
      <c r="Z13" s="26"/>
      <c r="AA13" s="27">
        <f t="shared" si="10"/>
        <v>58.668081494057731</v>
      </c>
      <c r="AB13" s="27">
        <f t="shared" si="5"/>
        <v>1.9808594040030603</v>
      </c>
      <c r="AC13">
        <f t="shared" si="6"/>
        <v>93.155802861685217</v>
      </c>
    </row>
    <row r="14" spans="1:33" x14ac:dyDescent="0.25">
      <c r="A14">
        <f>A13+7</f>
        <v>121</v>
      </c>
      <c r="C14">
        <v>3.07</v>
      </c>
      <c r="D14" t="s">
        <v>25</v>
      </c>
      <c r="K14" t="s">
        <v>25</v>
      </c>
      <c r="L14">
        <v>6.28</v>
      </c>
      <c r="N14">
        <v>6.6</v>
      </c>
      <c r="P14">
        <v>4.6399999999999997</v>
      </c>
      <c r="R14" s="26">
        <f t="shared" si="0"/>
        <v>54.041595925297116</v>
      </c>
      <c r="S14" s="26"/>
      <c r="T14" s="26">
        <f t="shared" si="2"/>
        <v>56.758064516129032</v>
      </c>
      <c r="U14" s="26"/>
      <c r="V14" s="26">
        <f t="shared" si="7"/>
        <v>4.6399999999999997</v>
      </c>
      <c r="W14" s="26"/>
      <c r="X14" s="26">
        <f t="shared" si="9"/>
        <v>54.041595925297116</v>
      </c>
      <c r="Y14" s="26">
        <f t="shared" si="4"/>
        <v>56.758064516129032</v>
      </c>
      <c r="Z14" s="26"/>
      <c r="AA14" s="27">
        <f t="shared" si="10"/>
        <v>55.399830220713071</v>
      </c>
      <c r="AB14" s="27">
        <f t="shared" si="5"/>
        <v>1.9208333614575126</v>
      </c>
      <c r="AC14">
        <f t="shared" si="6"/>
        <v>92.623211446740854</v>
      </c>
    </row>
    <row r="15" spans="1:33" x14ac:dyDescent="0.25">
      <c r="A15">
        <f>A13+48+4</f>
        <v>166</v>
      </c>
      <c r="C15">
        <v>4.07</v>
      </c>
      <c r="D15" t="s">
        <v>26</v>
      </c>
      <c r="K15" t="s">
        <v>26</v>
      </c>
      <c r="L15">
        <v>5.97</v>
      </c>
      <c r="N15">
        <v>6.26</v>
      </c>
      <c r="P15">
        <v>4.4400000000000004</v>
      </c>
      <c r="R15" s="26">
        <f t="shared" si="0"/>
        <v>51.410016977928692</v>
      </c>
      <c r="S15" s="26"/>
      <c r="T15" s="26">
        <f t="shared" si="2"/>
        <v>53.87181663837012</v>
      </c>
      <c r="U15" s="26"/>
      <c r="V15" s="26">
        <f t="shared" si="7"/>
        <v>4.4400000000000004</v>
      </c>
      <c r="W15" s="26"/>
      <c r="X15" s="26">
        <f t="shared" si="9"/>
        <v>51.410016977928692</v>
      </c>
      <c r="Y15" s="26">
        <f t="shared" si="4"/>
        <v>53.87181663837012</v>
      </c>
      <c r="Z15" s="26"/>
      <c r="AA15" s="27">
        <f t="shared" si="10"/>
        <v>52.640916808149406</v>
      </c>
      <c r="AB15" s="27">
        <f t="shared" si="5"/>
        <v>1.7407552338208743</v>
      </c>
      <c r="AC15">
        <f t="shared" si="6"/>
        <v>92.941176470588232</v>
      </c>
    </row>
    <row r="16" spans="1:33" ht="15" hidden="1" customHeight="1" x14ac:dyDescent="0.25">
      <c r="C16">
        <v>4.07</v>
      </c>
      <c r="D16" t="s">
        <v>27</v>
      </c>
      <c r="K16" t="s">
        <v>27</v>
      </c>
      <c r="R16" s="26">
        <f t="shared" si="0"/>
        <v>0.73089983022071303</v>
      </c>
      <c r="S16" s="26"/>
      <c r="T16" s="26">
        <f t="shared" si="2"/>
        <v>0.73089983022071303</v>
      </c>
      <c r="U16" s="26"/>
      <c r="V16" s="26" t="e">
        <f t="shared" si="7"/>
        <v>#DIV/0!</v>
      </c>
      <c r="W16" s="26"/>
      <c r="X16" s="26">
        <f t="shared" si="9"/>
        <v>0.73089983022071303</v>
      </c>
      <c r="Y16" s="26">
        <f t="shared" si="4"/>
        <v>0.73089983022071303</v>
      </c>
      <c r="Z16" s="26"/>
      <c r="AA16" s="27">
        <f t="shared" si="10"/>
        <v>0.73089983022071303</v>
      </c>
      <c r="AB16" s="27">
        <f t="shared" si="5"/>
        <v>0</v>
      </c>
      <c r="AC16" t="e">
        <f t="shared" si="6"/>
        <v>#DIV/0!</v>
      </c>
    </row>
    <row r="17" spans="1:33" ht="15" hidden="1" customHeight="1" x14ac:dyDescent="0.25">
      <c r="C17">
        <v>4.07</v>
      </c>
      <c r="D17" t="s">
        <v>28</v>
      </c>
      <c r="K17" t="s">
        <v>28</v>
      </c>
      <c r="R17" s="26">
        <f t="shared" si="0"/>
        <v>0.73089983022071303</v>
      </c>
      <c r="S17" s="26"/>
      <c r="T17" s="26">
        <f t="shared" si="2"/>
        <v>0.73089983022071303</v>
      </c>
      <c r="U17" s="26"/>
      <c r="V17" s="26" t="e">
        <f t="shared" si="7"/>
        <v>#DIV/0!</v>
      </c>
      <c r="W17" s="26"/>
      <c r="X17" s="26">
        <f t="shared" si="9"/>
        <v>0.73089983022071303</v>
      </c>
      <c r="Y17" s="26">
        <f t="shared" si="4"/>
        <v>0.73089983022071303</v>
      </c>
      <c r="Z17" s="26"/>
      <c r="AA17" s="27">
        <f t="shared" si="10"/>
        <v>0.73089983022071303</v>
      </c>
      <c r="AB17" s="27">
        <f t="shared" si="5"/>
        <v>0</v>
      </c>
      <c r="AC17" t="e">
        <f t="shared" si="6"/>
        <v>#DIV/0!</v>
      </c>
    </row>
    <row r="18" spans="1:33" x14ac:dyDescent="0.25">
      <c r="A18">
        <f>A15+24</f>
        <v>190</v>
      </c>
      <c r="C18">
        <v>5.07</v>
      </c>
      <c r="D18" t="s">
        <v>18</v>
      </c>
      <c r="K18" t="s">
        <v>18</v>
      </c>
      <c r="L18">
        <v>6.3</v>
      </c>
      <c r="N18">
        <v>6.51</v>
      </c>
      <c r="P18">
        <v>4.21</v>
      </c>
      <c r="R18" s="26">
        <f t="shared" si="0"/>
        <v>54.211375212224105</v>
      </c>
      <c r="S18" s="26"/>
      <c r="T18" s="26">
        <f t="shared" si="2"/>
        <v>55.99405772495755</v>
      </c>
      <c r="U18" s="26"/>
      <c r="V18" s="26">
        <f t="shared" si="7"/>
        <v>4.21</v>
      </c>
      <c r="W18" s="26"/>
      <c r="X18" s="26">
        <f t="shared" si="9"/>
        <v>54.211375212224105</v>
      </c>
      <c r="Y18" s="26">
        <f t="shared" si="4"/>
        <v>55.99405772495755</v>
      </c>
      <c r="Z18" s="26"/>
      <c r="AA18" s="27">
        <f t="shared" si="10"/>
        <v>55.102716468590828</v>
      </c>
      <c r="AB18" s="27">
        <f t="shared" si="5"/>
        <v>1.2605468934564925</v>
      </c>
      <c r="AC18">
        <f t="shared" si="6"/>
        <v>93.306836248012715</v>
      </c>
    </row>
    <row r="19" spans="1:33" s="34" customFormat="1" x14ac:dyDescent="0.25">
      <c r="A19" s="34">
        <f>A18+27</f>
        <v>217</v>
      </c>
      <c r="C19" s="34">
        <v>6.07</v>
      </c>
      <c r="D19" s="34" t="s">
        <v>14</v>
      </c>
      <c r="K19" s="34" t="s">
        <v>14</v>
      </c>
      <c r="L19" s="34">
        <v>6.9</v>
      </c>
      <c r="N19" s="34">
        <v>6.57</v>
      </c>
      <c r="P19" s="34">
        <v>5.51</v>
      </c>
      <c r="R19" s="35">
        <f t="shared" si="0"/>
        <v>59.304753820033959</v>
      </c>
      <c r="S19" s="35"/>
      <c r="T19" s="35">
        <f t="shared" si="2"/>
        <v>56.503395585738545</v>
      </c>
      <c r="U19" s="35"/>
      <c r="V19" s="35">
        <f t="shared" si="7"/>
        <v>5.51</v>
      </c>
      <c r="W19" s="35"/>
      <c r="X19" s="35">
        <f t="shared" si="9"/>
        <v>59.304753820033959</v>
      </c>
      <c r="Y19" s="35">
        <f t="shared" si="4"/>
        <v>56.503395585738545</v>
      </c>
      <c r="Z19" s="35"/>
      <c r="AA19" s="35">
        <f t="shared" si="10"/>
        <v>57.904074702886248</v>
      </c>
      <c r="AB19" s="35">
        <f t="shared" si="5"/>
        <v>1.9808594040030603</v>
      </c>
      <c r="AC19" s="34">
        <f t="shared" si="6"/>
        <v>91.240063593004777</v>
      </c>
      <c r="AD19" s="34">
        <f>(X5-X19)/47.5</f>
        <v>7.5953891519971325E-2</v>
      </c>
      <c r="AE19" s="34">
        <f>(Y5-Y19)/47.5</f>
        <v>0.13492985434724319</v>
      </c>
      <c r="AF19" s="34">
        <f xml:space="preserve"> AVERAGE(AD19:AE19)</f>
        <v>0.10544187293360727</v>
      </c>
      <c r="AG19" s="34">
        <f>STDEV(AD19:AE19)</f>
        <v>4.170230324216969E-2</v>
      </c>
    </row>
    <row r="20" spans="1:33" x14ac:dyDescent="0.25">
      <c r="A20">
        <f>A19+22</f>
        <v>239</v>
      </c>
      <c r="C20">
        <v>7.07</v>
      </c>
      <c r="D20" t="s">
        <v>29</v>
      </c>
      <c r="K20" t="s">
        <v>29</v>
      </c>
      <c r="L20">
        <v>5.59</v>
      </c>
      <c r="N20">
        <v>5.96</v>
      </c>
      <c r="P20">
        <v>4.21</v>
      </c>
      <c r="R20" s="26">
        <f t="shared" si="0"/>
        <v>48.184210526315788</v>
      </c>
      <c r="S20" s="26"/>
      <c r="T20" s="26">
        <f t="shared" si="2"/>
        <v>51.325127334465193</v>
      </c>
      <c r="U20" s="26"/>
      <c r="V20" s="26">
        <f t="shared" si="7"/>
        <v>4.21</v>
      </c>
      <c r="W20" s="26"/>
      <c r="X20" s="26">
        <f t="shared" si="9"/>
        <v>48.184210526315788</v>
      </c>
      <c r="Y20" s="26">
        <f t="shared" si="4"/>
        <v>51.325127334465193</v>
      </c>
      <c r="Z20" s="26"/>
      <c r="AA20" s="27">
        <f t="shared" si="10"/>
        <v>49.754668930390494</v>
      </c>
      <c r="AB20" s="27">
        <f t="shared" si="5"/>
        <v>2.2209635741852511</v>
      </c>
      <c r="AC20">
        <f t="shared" si="6"/>
        <v>93.306836248012715</v>
      </c>
    </row>
    <row r="21" spans="1:33" x14ac:dyDescent="0.25">
      <c r="C21">
        <v>7.07</v>
      </c>
      <c r="D21" t="s">
        <v>24</v>
      </c>
      <c r="K21" t="s">
        <v>24</v>
      </c>
      <c r="V21" s="26" t="e">
        <f t="shared" si="7"/>
        <v>#DIV/0!</v>
      </c>
    </row>
    <row r="22" spans="1:33" x14ac:dyDescent="0.25">
      <c r="C22">
        <v>7.07</v>
      </c>
      <c r="D22" t="s">
        <v>24</v>
      </c>
      <c r="K22" t="s">
        <v>38</v>
      </c>
      <c r="V22" s="26" t="e">
        <f t="shared" si="7"/>
        <v>#DIV/0!</v>
      </c>
    </row>
    <row r="23" spans="1:33" x14ac:dyDescent="0.25">
      <c r="A23">
        <f>(63-59)/48</f>
        <v>8.3333333333333329E-2</v>
      </c>
      <c r="C23">
        <v>8.07</v>
      </c>
      <c r="D23" t="s">
        <v>31</v>
      </c>
      <c r="K23" t="s">
        <v>31</v>
      </c>
      <c r="V23" s="26" t="e">
        <f t="shared" si="7"/>
        <v>#DIV/0!</v>
      </c>
    </row>
    <row r="24" spans="1:33" x14ac:dyDescent="0.25">
      <c r="A24">
        <f>(63-58)/217</f>
        <v>2.3041474654377881E-2</v>
      </c>
      <c r="C24">
        <v>10.07</v>
      </c>
      <c r="D24" s="20" t="s">
        <v>32</v>
      </c>
      <c r="K24" s="20" t="s">
        <v>32</v>
      </c>
      <c r="V24" s="26" t="e">
        <f t="shared" si="7"/>
        <v>#DIV/0!</v>
      </c>
    </row>
    <row r="25" spans="1:33" x14ac:dyDescent="0.25">
      <c r="C25">
        <v>12.07</v>
      </c>
      <c r="D25" s="20" t="s">
        <v>33</v>
      </c>
      <c r="K25" s="20" t="s">
        <v>33</v>
      </c>
      <c r="V25" s="26" t="e">
        <f t="shared" si="7"/>
        <v>#DIV/0!</v>
      </c>
    </row>
    <row r="26" spans="1:33" x14ac:dyDescent="0.25">
      <c r="C26">
        <v>13.07</v>
      </c>
      <c r="D26">
        <v>1600</v>
      </c>
      <c r="K26">
        <v>1600</v>
      </c>
      <c r="V26" s="26" t="e">
        <f t="shared" si="7"/>
        <v>#DIV/0!</v>
      </c>
    </row>
    <row r="27" spans="1:33" x14ac:dyDescent="0.25">
      <c r="C27">
        <v>13.07</v>
      </c>
      <c r="D27">
        <v>1700</v>
      </c>
      <c r="K27">
        <v>1700</v>
      </c>
      <c r="V27" s="26" t="e">
        <f t="shared" si="7"/>
        <v>#DIV/0!</v>
      </c>
    </row>
    <row r="28" spans="1:33" x14ac:dyDescent="0.25">
      <c r="C28">
        <v>14.07</v>
      </c>
      <c r="D28" t="s">
        <v>35</v>
      </c>
      <c r="K28" t="s">
        <v>35</v>
      </c>
      <c r="V28" s="26" t="e">
        <f t="shared" si="7"/>
        <v>#DIV/0!</v>
      </c>
    </row>
    <row r="29" spans="1:33" x14ac:dyDescent="0.25">
      <c r="C29" s="19">
        <v>42933</v>
      </c>
      <c r="D29" s="20" t="s">
        <v>36</v>
      </c>
      <c r="K29" s="20" t="s">
        <v>36</v>
      </c>
      <c r="V29" s="26" t="e">
        <f t="shared" si="7"/>
        <v>#DIV/0!</v>
      </c>
    </row>
    <row r="30" spans="1:33" x14ac:dyDescent="0.25">
      <c r="C30">
        <v>18.07</v>
      </c>
      <c r="K30" s="20" t="s">
        <v>36</v>
      </c>
      <c r="V30" s="26" t="e">
        <f t="shared" si="7"/>
        <v>#DIV/0!</v>
      </c>
    </row>
    <row r="31" spans="1:33" x14ac:dyDescent="0.25">
      <c r="C31">
        <v>21.07</v>
      </c>
      <c r="K31" t="s">
        <v>39</v>
      </c>
      <c r="V31" s="26" t="e">
        <f t="shared" si="7"/>
        <v>#DIV/0!</v>
      </c>
    </row>
    <row r="32" spans="1:33" x14ac:dyDescent="0.25">
      <c r="A32">
        <f>(43-13.8)/48</f>
        <v>0.60833333333333328</v>
      </c>
    </row>
    <row r="34" spans="1:1" x14ac:dyDescent="0.25">
      <c r="A34">
        <f>(45.5-38.2)/48</f>
        <v>0.15208333333333326</v>
      </c>
    </row>
    <row r="52" spans="1:24" x14ac:dyDescent="0.25">
      <c r="B52">
        <v>48</v>
      </c>
      <c r="C52" t="s">
        <v>88</v>
      </c>
      <c r="D52">
        <v>120</v>
      </c>
    </row>
    <row r="53" spans="1:24" x14ac:dyDescent="0.25">
      <c r="A53" t="s">
        <v>91</v>
      </c>
      <c r="B53">
        <v>8.9795918367346905E-2</v>
      </c>
      <c r="D53">
        <v>0.46808510638297873</v>
      </c>
      <c r="X53">
        <f>(50-16.7)/212.75</f>
        <v>0.15652173913043477</v>
      </c>
    </row>
    <row r="54" spans="1:24" x14ac:dyDescent="0.25">
      <c r="A54" t="s">
        <v>92</v>
      </c>
      <c r="B54">
        <v>0.36290256156824002</v>
      </c>
      <c r="C54">
        <v>4.2413134035812303E-2</v>
      </c>
      <c r="D54">
        <v>0.20265784780202617</v>
      </c>
      <c r="E54">
        <v>0.22662024750677426</v>
      </c>
    </row>
    <row r="55" spans="1:24" x14ac:dyDescent="0.25">
      <c r="A55" t="s">
        <v>93</v>
      </c>
      <c r="B55">
        <v>0.58907832962688433</v>
      </c>
      <c r="C55">
        <v>6.4964796882599596E-2</v>
      </c>
      <c r="D55">
        <v>0.52664936990363242</v>
      </c>
      <c r="E55"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zoomScale="70" zoomScaleNormal="70" workbookViewId="0">
      <selection activeCell="K2" sqref="K2"/>
    </sheetView>
  </sheetViews>
  <sheetFormatPr defaultRowHeight="15" x14ac:dyDescent="0.25"/>
  <cols>
    <col min="4" max="10" width="0" hidden="1" customWidth="1"/>
  </cols>
  <sheetData>
    <row r="1" spans="1:33" ht="26.25" x14ac:dyDescent="0.4">
      <c r="A1" t="s">
        <v>47</v>
      </c>
      <c r="D1" s="2"/>
      <c r="G1" s="2"/>
      <c r="K1" s="2" t="s">
        <v>106</v>
      </c>
      <c r="L1" s="3"/>
      <c r="M1" s="3"/>
      <c r="N1" s="4"/>
      <c r="O1" s="4"/>
      <c r="P1" s="3"/>
      <c r="Q1" s="31" t="s">
        <v>64</v>
      </c>
      <c r="X1" s="5">
        <v>52.1</v>
      </c>
      <c r="Z1" s="5">
        <v>52.2</v>
      </c>
      <c r="AA1" s="6"/>
      <c r="AB1" s="5">
        <v>52.3</v>
      </c>
    </row>
    <row r="2" spans="1:33" ht="18.75" x14ac:dyDescent="0.3">
      <c r="A2" s="1" t="s">
        <v>37</v>
      </c>
      <c r="C2" s="2"/>
      <c r="F2" s="2"/>
      <c r="G2" s="2"/>
      <c r="H2" s="2"/>
      <c r="I2" s="7"/>
      <c r="K2" t="s">
        <v>46</v>
      </c>
      <c r="L2" s="5" t="s">
        <v>103</v>
      </c>
      <c r="M2" s="8"/>
      <c r="N2" s="9"/>
      <c r="O2" s="9"/>
      <c r="P2" s="8"/>
      <c r="Q2" s="3"/>
    </row>
    <row r="3" spans="1:33" ht="18.75" x14ac:dyDescent="0.3">
      <c r="C3" s="5"/>
      <c r="D3" s="5"/>
      <c r="E3" s="5"/>
      <c r="F3" s="5"/>
      <c r="G3" s="5"/>
      <c r="H3" s="5"/>
      <c r="I3" s="5"/>
      <c r="J3" s="5"/>
      <c r="K3" s="5"/>
      <c r="L3" s="5">
        <v>52.1</v>
      </c>
      <c r="N3" s="5">
        <v>52.2</v>
      </c>
      <c r="O3" s="6"/>
      <c r="P3" s="5">
        <v>52.3</v>
      </c>
      <c r="Q3" s="10"/>
      <c r="R3" t="s">
        <v>0</v>
      </c>
      <c r="T3" t="s">
        <v>1</v>
      </c>
      <c r="V3" t="s">
        <v>2</v>
      </c>
      <c r="X3" s="1" t="s">
        <v>0</v>
      </c>
      <c r="Y3" s="1" t="s">
        <v>1</v>
      </c>
      <c r="Z3" s="1" t="s">
        <v>2</v>
      </c>
      <c r="AA3" s="11"/>
      <c r="AB3" s="11"/>
    </row>
    <row r="4" spans="1:33" ht="15.75" x14ac:dyDescent="0.25">
      <c r="A4" t="s">
        <v>3</v>
      </c>
      <c r="B4" t="s">
        <v>4</v>
      </c>
      <c r="C4" s="12" t="s">
        <v>5</v>
      </c>
      <c r="D4" s="12"/>
      <c r="E4" s="12"/>
      <c r="F4" s="12"/>
      <c r="G4" s="12"/>
      <c r="H4" s="12"/>
      <c r="I4" s="13"/>
      <c r="J4" s="13"/>
      <c r="K4" s="13"/>
      <c r="L4" s="14" t="s">
        <v>6</v>
      </c>
      <c r="M4" s="14"/>
      <c r="N4" s="15" t="s">
        <v>6</v>
      </c>
      <c r="O4" s="15"/>
      <c r="P4" s="14" t="s">
        <v>6</v>
      </c>
      <c r="Q4" s="14"/>
      <c r="R4" s="16" t="s">
        <v>7</v>
      </c>
      <c r="S4" s="17"/>
      <c r="T4" s="18"/>
      <c r="U4" s="18"/>
      <c r="V4" s="18"/>
      <c r="W4" s="18"/>
      <c r="X4" t="s">
        <v>8</v>
      </c>
      <c r="Y4" t="s">
        <v>9</v>
      </c>
      <c r="Z4" t="s">
        <v>10</v>
      </c>
      <c r="AA4" s="11" t="s">
        <v>11</v>
      </c>
      <c r="AB4" s="11" t="s">
        <v>12</v>
      </c>
      <c r="AC4" s="11" t="s">
        <v>11</v>
      </c>
    </row>
    <row r="5" spans="1:33" x14ac:dyDescent="0.25">
      <c r="A5">
        <v>0</v>
      </c>
      <c r="C5" s="19" t="s">
        <v>13</v>
      </c>
      <c r="D5" t="s">
        <v>14</v>
      </c>
      <c r="K5" t="s">
        <v>14</v>
      </c>
      <c r="L5">
        <v>5.65</v>
      </c>
      <c r="M5">
        <v>5.74</v>
      </c>
      <c r="N5">
        <v>5.65</v>
      </c>
      <c r="O5">
        <v>5.74</v>
      </c>
      <c r="P5">
        <v>5.65</v>
      </c>
      <c r="Q5">
        <v>5.74</v>
      </c>
      <c r="R5">
        <f t="shared" ref="R5:W5" si="0">(L5-0.1087)/0.1228</f>
        <v>45.124592833876221</v>
      </c>
      <c r="S5">
        <f t="shared" si="0"/>
        <v>45.857491856677527</v>
      </c>
      <c r="T5">
        <f t="shared" si="0"/>
        <v>45.124592833876221</v>
      </c>
      <c r="U5">
        <f t="shared" si="0"/>
        <v>45.857491856677527</v>
      </c>
      <c r="V5">
        <f t="shared" si="0"/>
        <v>45.124592833876221</v>
      </c>
      <c r="W5">
        <f t="shared" si="0"/>
        <v>45.857491856677527</v>
      </c>
      <c r="X5" s="26">
        <f>AVERAGE(R5:S5)</f>
        <v>45.491042345276874</v>
      </c>
      <c r="Y5" s="26">
        <f>AVERAGE(T5:U5)</f>
        <v>45.491042345276874</v>
      </c>
      <c r="Z5" s="26">
        <f>AVERAGE(V5:W5)</f>
        <v>45.491042345276874</v>
      </c>
      <c r="AA5" s="27">
        <f>AVERAGE(R5:W5)</f>
        <v>45.491042345276874</v>
      </c>
      <c r="AB5" s="27">
        <f>STDEV(R5:W5)</f>
        <v>0.40142532716176815</v>
      </c>
    </row>
    <row r="6" spans="1:33" x14ac:dyDescent="0.25">
      <c r="A6">
        <f>24-3.5</f>
        <v>20.5</v>
      </c>
      <c r="C6">
        <v>27.06</v>
      </c>
      <c r="D6" t="s">
        <v>15</v>
      </c>
      <c r="K6" t="s">
        <v>15</v>
      </c>
      <c r="L6">
        <v>4.9800000000000004</v>
      </c>
      <c r="M6">
        <v>5.2</v>
      </c>
      <c r="N6">
        <v>4.88</v>
      </c>
      <c r="O6">
        <v>4.97</v>
      </c>
      <c r="P6">
        <v>4.97</v>
      </c>
      <c r="Q6">
        <v>5.08</v>
      </c>
      <c r="R6">
        <f t="shared" ref="R6:R25" si="1">(L6-0.1087)/0.1228</f>
        <v>39.668566775244301</v>
      </c>
      <c r="S6">
        <f>(M6-0.1087)/0.1228</f>
        <v>41.460097719869708</v>
      </c>
      <c r="T6">
        <f t="shared" ref="T6:T25" si="2">(N6-0.1087)/0.1228</f>
        <v>38.854234527687296</v>
      </c>
      <c r="U6">
        <f>(O6-0.1087)/0.1228</f>
        <v>39.587133550488595</v>
      </c>
      <c r="V6">
        <f t="shared" ref="V6:V25" si="3">(P6-0.1087)/0.1228</f>
        <v>39.587133550488595</v>
      </c>
      <c r="W6">
        <f>(Q6-0.1087)/0.1228</f>
        <v>40.482899022801305</v>
      </c>
      <c r="X6" s="26">
        <f t="shared" ref="X6:X25" si="4">AVERAGE(R6:S6)</f>
        <v>40.564332247557005</v>
      </c>
      <c r="Y6" s="26">
        <f t="shared" ref="Y6:Y25" si="5">AVERAGE(T6:U6)</f>
        <v>39.220684039087942</v>
      </c>
      <c r="Z6" s="26">
        <f t="shared" ref="Z6:Z25" si="6">AVERAGE(V6:W6)</f>
        <v>40.035016286644947</v>
      </c>
      <c r="AA6" s="27">
        <f t="shared" ref="AA6:AA25" si="7">AVERAGE(R6:W6)</f>
        <v>39.940010857763298</v>
      </c>
      <c r="AB6" s="27">
        <f t="shared" ref="AB6:AB25" si="8">STDEV(R6:W6)</f>
        <v>0.90631435439957886</v>
      </c>
    </row>
    <row r="7" spans="1:33" s="1" customFormat="1" x14ac:dyDescent="0.25">
      <c r="A7" s="1">
        <f>47.5</f>
        <v>47.5</v>
      </c>
      <c r="C7" s="1">
        <v>28.06</v>
      </c>
      <c r="D7" s="1" t="s">
        <v>16</v>
      </c>
      <c r="K7" s="1" t="s">
        <v>16</v>
      </c>
      <c r="L7" s="1">
        <f>3*1.307</f>
        <v>3.9209999999999998</v>
      </c>
      <c r="M7" s="1">
        <v>3.44</v>
      </c>
      <c r="N7" s="1">
        <f>0.726*5</f>
        <v>3.63</v>
      </c>
      <c r="O7" s="1">
        <f>0.752*5</f>
        <v>3.76</v>
      </c>
      <c r="P7" s="1">
        <v>4.33</v>
      </c>
      <c r="Q7" s="1">
        <v>4.34</v>
      </c>
      <c r="R7" s="1">
        <f t="shared" si="1"/>
        <v>31.044788273615634</v>
      </c>
      <c r="S7" s="1">
        <f>(M7-0.1087)/0.1228</f>
        <v>27.127850162866448</v>
      </c>
      <c r="T7" s="1">
        <f t="shared" si="2"/>
        <v>28.675081433224754</v>
      </c>
      <c r="U7" s="1">
        <f>(O7-0.1087)/0.1228</f>
        <v>29.733713355048859</v>
      </c>
      <c r="V7" s="1">
        <f t="shared" si="3"/>
        <v>34.375407166123779</v>
      </c>
      <c r="W7" s="1">
        <f>(Q7-0.1087)/0.1228</f>
        <v>34.456840390879478</v>
      </c>
      <c r="X7" s="36">
        <f t="shared" si="4"/>
        <v>29.086319218241041</v>
      </c>
      <c r="Y7" s="36">
        <f t="shared" si="5"/>
        <v>29.204397394136805</v>
      </c>
      <c r="Z7" s="36">
        <f t="shared" si="6"/>
        <v>34.416123778501628</v>
      </c>
      <c r="AA7" s="37"/>
      <c r="AB7">
        <f>(X5-X7)/47.5</f>
        <v>0.34536259214812282</v>
      </c>
      <c r="AC7">
        <f>(Y5-Y7)/47.5</f>
        <v>0.34287673581347511</v>
      </c>
      <c r="AD7">
        <f>(Z5-Z7)/47.5</f>
        <v>0.23315618035316307</v>
      </c>
      <c r="AE7" s="22">
        <f>AVERAGE(AB7:AD7)</f>
        <v>0.30713183610492034</v>
      </c>
      <c r="AF7" s="22">
        <f>STDEV(AB7:AD7)</f>
        <v>6.4076853101225156E-2</v>
      </c>
    </row>
    <row r="8" spans="1:33" x14ac:dyDescent="0.25">
      <c r="A8">
        <f>24*3-2.5</f>
        <v>69.5</v>
      </c>
      <c r="C8">
        <v>29.06</v>
      </c>
      <c r="D8" t="s">
        <v>17</v>
      </c>
      <c r="K8" t="s">
        <v>17</v>
      </c>
      <c r="L8">
        <v>4.84</v>
      </c>
      <c r="M8">
        <v>4.9800000000000004</v>
      </c>
      <c r="N8">
        <v>4.6900000000000004</v>
      </c>
      <c r="O8">
        <v>4.7300000000000004</v>
      </c>
      <c r="P8">
        <v>4.82</v>
      </c>
      <c r="Q8">
        <v>4.7300000000000004</v>
      </c>
      <c r="R8">
        <f t="shared" si="1"/>
        <v>38.528501628664493</v>
      </c>
      <c r="S8">
        <f>(M8-0.1087)/0.1228</f>
        <v>39.668566775244301</v>
      </c>
      <c r="T8">
        <f t="shared" si="2"/>
        <v>37.307003257328994</v>
      </c>
      <c r="U8">
        <f>(O8-0.1087)/0.1228</f>
        <v>37.632736156351797</v>
      </c>
      <c r="V8">
        <f t="shared" si="3"/>
        <v>38.365635179153095</v>
      </c>
      <c r="W8">
        <f>(Q8-0.1087)/0.1228</f>
        <v>37.632736156351797</v>
      </c>
      <c r="X8" s="26">
        <f t="shared" si="4"/>
        <v>39.098534201954394</v>
      </c>
      <c r="Y8" s="26">
        <f t="shared" si="5"/>
        <v>37.469869706840399</v>
      </c>
      <c r="Z8" s="26">
        <f t="shared" si="6"/>
        <v>37.999185667752442</v>
      </c>
      <c r="AA8" s="27">
        <f t="shared" si="7"/>
        <v>38.189196525515747</v>
      </c>
      <c r="AB8" s="27">
        <f t="shared" si="8"/>
        <v>0.86398566361210527</v>
      </c>
    </row>
    <row r="9" spans="1:33" x14ac:dyDescent="0.25">
      <c r="A9">
        <f>24*4-3</f>
        <v>93</v>
      </c>
      <c r="C9">
        <v>30.06</v>
      </c>
      <c r="D9" t="s">
        <v>18</v>
      </c>
      <c r="K9" t="s">
        <v>18</v>
      </c>
      <c r="L9">
        <v>4.76</v>
      </c>
      <c r="M9">
        <v>4.8499999999999996</v>
      </c>
      <c r="N9">
        <v>4.54</v>
      </c>
      <c r="O9">
        <v>4.58</v>
      </c>
      <c r="P9">
        <v>4.7</v>
      </c>
      <c r="Q9">
        <v>4.71</v>
      </c>
      <c r="R9">
        <f t="shared" si="1"/>
        <v>37.877035830618894</v>
      </c>
      <c r="S9">
        <f>(M9-0.1087)/0.1228</f>
        <v>38.609934853420192</v>
      </c>
      <c r="T9">
        <f t="shared" si="2"/>
        <v>36.085504885993487</v>
      </c>
      <c r="U9">
        <f>(O9-0.1087)/0.1228</f>
        <v>36.41123778501629</v>
      </c>
      <c r="V9">
        <f t="shared" si="3"/>
        <v>37.388436482084693</v>
      </c>
      <c r="W9">
        <f>(Q9-0.1087)/0.1228</f>
        <v>37.469869706840392</v>
      </c>
      <c r="X9" s="26">
        <f t="shared" si="4"/>
        <v>38.24348534201954</v>
      </c>
      <c r="Y9" s="26">
        <f t="shared" si="5"/>
        <v>36.248371335504885</v>
      </c>
      <c r="Z9" s="26">
        <f t="shared" si="6"/>
        <v>37.429153094462542</v>
      </c>
      <c r="AA9" s="27">
        <f t="shared" si="7"/>
        <v>37.307003257328994</v>
      </c>
      <c r="AB9" s="27">
        <f t="shared" si="8"/>
        <v>0.93275707252614515</v>
      </c>
    </row>
    <row r="10" spans="1:33" x14ac:dyDescent="0.25">
      <c r="C10">
        <v>30.06</v>
      </c>
      <c r="D10" t="s">
        <v>18</v>
      </c>
      <c r="K10" t="s">
        <v>17</v>
      </c>
      <c r="X10" s="26"/>
      <c r="Y10" s="26"/>
      <c r="Z10" s="26"/>
      <c r="AA10" s="27"/>
      <c r="AB10" s="27"/>
    </row>
    <row r="11" spans="1:33" x14ac:dyDescent="0.25">
      <c r="A11">
        <f>6*24-6</f>
        <v>138</v>
      </c>
      <c r="C11" t="s">
        <v>20</v>
      </c>
      <c r="D11" t="s">
        <v>21</v>
      </c>
      <c r="K11" t="s">
        <v>21</v>
      </c>
      <c r="L11">
        <v>4.4000000000000004</v>
      </c>
      <c r="N11">
        <v>3.78</v>
      </c>
      <c r="P11">
        <v>4.25</v>
      </c>
      <c r="Q11">
        <v>4.3</v>
      </c>
      <c r="R11">
        <f t="shared" si="1"/>
        <v>34.945439739413686</v>
      </c>
      <c r="T11">
        <f t="shared" si="2"/>
        <v>29.896579804560258</v>
      </c>
      <c r="V11">
        <f t="shared" si="3"/>
        <v>33.723941368078172</v>
      </c>
      <c r="W11">
        <f>(Q11-0.1087)/0.1228</f>
        <v>34.131107491856675</v>
      </c>
      <c r="X11" s="26">
        <f t="shared" si="4"/>
        <v>34.945439739413686</v>
      </c>
      <c r="Y11" s="26">
        <f t="shared" si="5"/>
        <v>29.896579804560258</v>
      </c>
      <c r="Z11" s="26">
        <f t="shared" si="6"/>
        <v>33.92752442996742</v>
      </c>
      <c r="AA11" s="27">
        <f t="shared" si="7"/>
        <v>33.174267100977197</v>
      </c>
      <c r="AB11" s="27">
        <f t="shared" si="8"/>
        <v>2.2433584838934717</v>
      </c>
    </row>
    <row r="12" spans="1:33" x14ac:dyDescent="0.25">
      <c r="C12" t="s">
        <v>20</v>
      </c>
      <c r="D12" t="s">
        <v>24</v>
      </c>
      <c r="K12" t="s">
        <v>24</v>
      </c>
      <c r="X12" s="26"/>
      <c r="Y12" s="26"/>
      <c r="Z12" s="26"/>
      <c r="AA12" s="27"/>
      <c r="AB12" s="27"/>
    </row>
    <row r="13" spans="1:33" x14ac:dyDescent="0.25">
      <c r="C13" t="s">
        <v>20</v>
      </c>
      <c r="D13" t="s">
        <v>24</v>
      </c>
      <c r="K13" t="s">
        <v>24</v>
      </c>
      <c r="X13" s="26"/>
      <c r="Y13" s="26"/>
      <c r="Z13" s="26"/>
      <c r="AA13" s="27"/>
      <c r="AB13" s="27"/>
    </row>
    <row r="14" spans="1:33" x14ac:dyDescent="0.25">
      <c r="A14">
        <f>8*24-2</f>
        <v>190</v>
      </c>
      <c r="C14">
        <v>3.07</v>
      </c>
      <c r="D14" t="s">
        <v>25</v>
      </c>
      <c r="K14" t="s">
        <v>25</v>
      </c>
      <c r="L14">
        <v>3.3</v>
      </c>
      <c r="N14">
        <v>2.29</v>
      </c>
      <c r="P14">
        <v>3.2</v>
      </c>
      <c r="R14">
        <f t="shared" si="1"/>
        <v>25.987785016286644</v>
      </c>
      <c r="T14">
        <f t="shared" si="2"/>
        <v>17.763029315960914</v>
      </c>
      <c r="V14">
        <f t="shared" si="3"/>
        <v>25.173452768729643</v>
      </c>
      <c r="X14" s="26">
        <f t="shared" si="4"/>
        <v>25.987785016286644</v>
      </c>
      <c r="Y14" s="26">
        <f t="shared" si="5"/>
        <v>17.763029315960914</v>
      </c>
      <c r="Z14" s="26">
        <f t="shared" si="6"/>
        <v>25.173452768729643</v>
      </c>
      <c r="AA14" s="27">
        <f t="shared" si="7"/>
        <v>22.974755700325733</v>
      </c>
      <c r="AB14" s="27">
        <f t="shared" si="8"/>
        <v>4.5318156605786681</v>
      </c>
    </row>
    <row r="15" spans="1:33" s="1" customFormat="1" x14ac:dyDescent="0.25">
      <c r="A15" s="1">
        <f>A14+24-1.25</f>
        <v>212.75</v>
      </c>
      <c r="C15" s="1">
        <v>4.07</v>
      </c>
      <c r="D15" s="1" t="s">
        <v>26</v>
      </c>
      <c r="K15" s="1" t="s">
        <v>26</v>
      </c>
      <c r="L15" s="1">
        <v>2.63</v>
      </c>
      <c r="N15" s="1">
        <v>1.51</v>
      </c>
      <c r="P15" s="1">
        <v>2.34</v>
      </c>
      <c r="R15" s="1">
        <f t="shared" si="1"/>
        <v>20.531758957654723</v>
      </c>
      <c r="T15" s="1">
        <f t="shared" si="2"/>
        <v>11.411237785016286</v>
      </c>
      <c r="V15" s="1">
        <f t="shared" si="3"/>
        <v>18.170195439739413</v>
      </c>
      <c r="X15" s="36">
        <f t="shared" si="4"/>
        <v>20.531758957654723</v>
      </c>
      <c r="Y15" s="36">
        <f t="shared" si="5"/>
        <v>11.411237785016286</v>
      </c>
      <c r="Z15" s="36">
        <f t="shared" si="6"/>
        <v>18.170195439739413</v>
      </c>
      <c r="AA15" s="37">
        <f t="shared" si="7"/>
        <v>16.704397394136809</v>
      </c>
      <c r="AB15" s="37">
        <f t="shared" si="8"/>
        <v>4.7336454818676268</v>
      </c>
      <c r="AC15">
        <f>(X5-X15)/47.5</f>
        <v>0.52545859763415048</v>
      </c>
      <c r="AD15">
        <f>(Y5-Y15)/47.5</f>
        <v>0.71746956968969655</v>
      </c>
      <c r="AE15">
        <f>(Z5-Z15)/47.5</f>
        <v>0.5751757243271044</v>
      </c>
      <c r="AF15" s="22">
        <f>AVERAGE(AC15:AE15)</f>
        <v>0.60603463055031714</v>
      </c>
      <c r="AG15" s="22">
        <f>STDEV(AC15:AE15)</f>
        <v>9.9655694355107682E-2</v>
      </c>
    </row>
    <row r="16" spans="1:33" x14ac:dyDescent="0.25">
      <c r="C16">
        <v>4.07</v>
      </c>
      <c r="D16" t="s">
        <v>27</v>
      </c>
      <c r="K16" t="s">
        <v>27</v>
      </c>
      <c r="X16" s="26"/>
      <c r="Y16" s="26"/>
      <c r="Z16" s="26"/>
      <c r="AA16" s="27"/>
      <c r="AB16" s="27"/>
    </row>
    <row r="17" spans="1:33" x14ac:dyDescent="0.25">
      <c r="C17">
        <v>4.07</v>
      </c>
      <c r="D17" t="s">
        <v>28</v>
      </c>
      <c r="K17" t="s">
        <v>28</v>
      </c>
      <c r="X17" s="26"/>
      <c r="Y17" s="26"/>
      <c r="Z17" s="26"/>
      <c r="AA17" s="27"/>
      <c r="AB17" s="27"/>
    </row>
    <row r="18" spans="1:33" x14ac:dyDescent="0.25">
      <c r="A18">
        <f>A15+24</f>
        <v>236.75</v>
      </c>
      <c r="C18">
        <v>5.07</v>
      </c>
      <c r="D18" t="s">
        <v>18</v>
      </c>
      <c r="K18" t="s">
        <v>18</v>
      </c>
      <c r="L18">
        <v>0.85</v>
      </c>
      <c r="N18">
        <v>0.2</v>
      </c>
      <c r="P18">
        <v>1.1299999999999999</v>
      </c>
      <c r="R18" s="2">
        <f>(L18-0.0023)/0.1072</f>
        <v>7.9076492537313428</v>
      </c>
      <c r="S18" s="2"/>
      <c r="T18" s="2">
        <f>(N18-0.0023)/0.1072</f>
        <v>1.8442164179104479</v>
      </c>
      <c r="U18" s="2"/>
      <c r="V18" s="2">
        <f>(P18-0.0023)/0.1072</f>
        <v>10.519589552238806</v>
      </c>
      <c r="X18" s="26">
        <f t="shared" si="4"/>
        <v>7.9076492537313428</v>
      </c>
      <c r="Y18" s="26">
        <f>AVERAGE(T18:U18)</f>
        <v>1.8442164179104479</v>
      </c>
      <c r="Z18" s="26">
        <f t="shared" si="6"/>
        <v>10.519589552238806</v>
      </c>
      <c r="AA18" s="27">
        <f>AVERAGE(R18:W18)</f>
        <v>6.7571517412935327</v>
      </c>
      <c r="AB18" s="27">
        <f t="shared" si="8"/>
        <v>4.4506469360701653</v>
      </c>
    </row>
    <row r="19" spans="1:33" x14ac:dyDescent="0.25">
      <c r="A19">
        <f>A18+27</f>
        <v>263.75</v>
      </c>
      <c r="B19" t="s">
        <v>48</v>
      </c>
      <c r="C19">
        <v>6.07</v>
      </c>
      <c r="D19" t="s">
        <v>14</v>
      </c>
      <c r="K19" t="s">
        <v>14</v>
      </c>
      <c r="L19">
        <v>1.6E-2</v>
      </c>
      <c r="N19">
        <v>1.0999999999999999E-2</v>
      </c>
      <c r="P19">
        <v>1.4999999999999999E-2</v>
      </c>
      <c r="R19">
        <f>(L19-0.0023)/0.1072</f>
        <v>0.12779850746268656</v>
      </c>
      <c r="T19">
        <f>(N19-0.0023)/0.1072</f>
        <v>8.1156716417910446E-2</v>
      </c>
      <c r="V19">
        <f>(P19-0.0023)/0.1072</f>
        <v>0.11847014925373134</v>
      </c>
      <c r="X19" s="26">
        <f t="shared" si="4"/>
        <v>0.12779850746268656</v>
      </c>
      <c r="Y19" s="26"/>
      <c r="Z19" s="26"/>
      <c r="AA19" s="27">
        <f>AVERAGE(R19:W19)</f>
        <v>0.10914179104477612</v>
      </c>
      <c r="AB19" s="27"/>
    </row>
    <row r="20" spans="1:33" x14ac:dyDescent="0.25">
      <c r="A20" s="2">
        <v>0</v>
      </c>
      <c r="B20" s="2" t="s">
        <v>30</v>
      </c>
      <c r="C20" s="2">
        <v>6.07</v>
      </c>
      <c r="D20" s="2" t="s">
        <v>14</v>
      </c>
      <c r="E20" s="2"/>
      <c r="F20" s="2"/>
      <c r="G20" s="2"/>
      <c r="H20" s="2"/>
      <c r="I20" s="2"/>
      <c r="J20" s="2"/>
      <c r="K20" s="2" t="s">
        <v>49</v>
      </c>
      <c r="L20" s="2">
        <v>5.4</v>
      </c>
      <c r="M20" s="2">
        <v>5.44</v>
      </c>
      <c r="N20" s="2">
        <v>5.4</v>
      </c>
      <c r="O20" s="2">
        <v>5.44</v>
      </c>
      <c r="P20" s="2">
        <v>5.4</v>
      </c>
      <c r="Q20" s="2">
        <v>5.44</v>
      </c>
      <c r="R20">
        <f t="shared" si="1"/>
        <v>43.088762214983717</v>
      </c>
      <c r="T20">
        <f>(N20-0.1087)/0.1228</f>
        <v>43.088762214983717</v>
      </c>
      <c r="V20">
        <f t="shared" si="3"/>
        <v>43.088762214983717</v>
      </c>
      <c r="W20">
        <f>(Q20-0.1087)/0.1228</f>
        <v>43.41449511400652</v>
      </c>
      <c r="X20" s="26">
        <f t="shared" si="4"/>
        <v>43.088762214983717</v>
      </c>
      <c r="Y20" s="26">
        <f t="shared" si="5"/>
        <v>43.088762214983717</v>
      </c>
      <c r="Z20" s="26">
        <f t="shared" si="6"/>
        <v>43.251628664495115</v>
      </c>
      <c r="AA20" s="27">
        <f t="shared" si="7"/>
        <v>43.170195439739416</v>
      </c>
      <c r="AB20" s="27">
        <f t="shared" si="8"/>
        <v>0.16286644951140161</v>
      </c>
    </row>
    <row r="21" spans="1:33" x14ac:dyDescent="0.25">
      <c r="A21">
        <f>24-3</f>
        <v>21</v>
      </c>
      <c r="C21">
        <v>7.07</v>
      </c>
      <c r="D21" t="s">
        <v>29</v>
      </c>
      <c r="K21" t="s">
        <v>29</v>
      </c>
      <c r="L21">
        <v>4.74</v>
      </c>
      <c r="N21">
        <v>5.39</v>
      </c>
      <c r="P21">
        <v>3.76</v>
      </c>
      <c r="R21">
        <f t="shared" si="1"/>
        <v>37.714169381107496</v>
      </c>
      <c r="T21">
        <f t="shared" si="2"/>
        <v>43.007328990228011</v>
      </c>
      <c r="V21">
        <f t="shared" si="3"/>
        <v>29.733713355048859</v>
      </c>
      <c r="X21" s="26">
        <f t="shared" si="4"/>
        <v>37.714169381107496</v>
      </c>
      <c r="Y21" s="26">
        <f t="shared" si="5"/>
        <v>43.007328990228011</v>
      </c>
      <c r="Z21" s="26">
        <f t="shared" si="6"/>
        <v>29.733713355048859</v>
      </c>
      <c r="AA21" s="27">
        <f t="shared" si="7"/>
        <v>36.818403908794792</v>
      </c>
      <c r="AB21" s="27">
        <f t="shared" si="8"/>
        <v>6.6819918320556395</v>
      </c>
    </row>
    <row r="22" spans="1:33" x14ac:dyDescent="0.25">
      <c r="C22">
        <v>7.07</v>
      </c>
      <c r="D22" t="s">
        <v>24</v>
      </c>
      <c r="K22" t="s">
        <v>24</v>
      </c>
      <c r="X22" s="26"/>
      <c r="Y22" s="26"/>
      <c r="Z22" s="26"/>
      <c r="AA22" s="27"/>
      <c r="AB22" s="27"/>
    </row>
    <row r="23" spans="1:33" s="1" customFormat="1" x14ac:dyDescent="0.25">
      <c r="A23" s="1">
        <f>48+1.5</f>
        <v>49.5</v>
      </c>
      <c r="C23" s="1">
        <v>8.07</v>
      </c>
      <c r="D23" s="1" t="s">
        <v>24</v>
      </c>
      <c r="K23" s="1" t="s">
        <v>38</v>
      </c>
      <c r="L23" s="1">
        <v>1.45</v>
      </c>
      <c r="N23" s="1">
        <v>1.66</v>
      </c>
      <c r="P23" s="1">
        <v>2.31</v>
      </c>
      <c r="R23" s="1">
        <f t="shared" si="1"/>
        <v>10.922638436482083</v>
      </c>
      <c r="T23" s="1">
        <f t="shared" si="2"/>
        <v>12.63273615635179</v>
      </c>
      <c r="V23" s="1">
        <f t="shared" si="3"/>
        <v>17.925895765472315</v>
      </c>
      <c r="X23" s="36">
        <f t="shared" si="4"/>
        <v>10.922638436482083</v>
      </c>
      <c r="Y23" s="36">
        <f t="shared" si="5"/>
        <v>12.63273615635179</v>
      </c>
      <c r="Z23" s="36">
        <f t="shared" si="6"/>
        <v>17.925895765472315</v>
      </c>
      <c r="AA23" s="37">
        <f t="shared" si="7"/>
        <v>13.827090119435397</v>
      </c>
      <c r="AB23" s="37">
        <f t="shared" si="8"/>
        <v>3.6512003979327106</v>
      </c>
      <c r="AC23">
        <f>(X20-X23)/49.5</f>
        <v>0.64982068239397239</v>
      </c>
      <c r="AD23">
        <f>(Y20-Y23)/49.5</f>
        <v>0.61527325370973596</v>
      </c>
      <c r="AE23">
        <f>(Z20-Z23)/49.5</f>
        <v>0.5116309676570262</v>
      </c>
      <c r="AF23" s="22">
        <f>AVERAGE(AC23:AE23)</f>
        <v>0.59224163458691148</v>
      </c>
      <c r="AG23" s="22">
        <f>STDEV(AC23:AE23)</f>
        <v>7.191620766095623E-2</v>
      </c>
    </row>
    <row r="24" spans="1:33" s="1" customFormat="1" x14ac:dyDescent="0.25">
      <c r="A24" s="1">
        <f>4*24-6</f>
        <v>90</v>
      </c>
      <c r="C24" s="1">
        <v>10.07</v>
      </c>
      <c r="D24" s="38" t="s">
        <v>32</v>
      </c>
      <c r="K24" s="38" t="s">
        <v>32</v>
      </c>
      <c r="L24" s="1">
        <v>0</v>
      </c>
      <c r="N24" s="1">
        <v>0</v>
      </c>
      <c r="P24" s="1">
        <v>0</v>
      </c>
      <c r="R24" s="1">
        <v>0</v>
      </c>
      <c r="T24" s="1">
        <v>0</v>
      </c>
      <c r="V24" s="1">
        <v>0</v>
      </c>
      <c r="X24" s="36">
        <v>0</v>
      </c>
      <c r="Y24" s="36"/>
      <c r="Z24" s="36">
        <v>0</v>
      </c>
      <c r="AA24" s="37">
        <v>0</v>
      </c>
      <c r="AB24" s="37">
        <v>0</v>
      </c>
    </row>
    <row r="25" spans="1:33" x14ac:dyDescent="0.25">
      <c r="A25">
        <v>0</v>
      </c>
      <c r="C25">
        <v>10.07</v>
      </c>
      <c r="D25" s="20" t="s">
        <v>32</v>
      </c>
      <c r="K25" s="20" t="s">
        <v>32</v>
      </c>
      <c r="L25">
        <v>8.64</v>
      </c>
      <c r="N25">
        <v>8.27</v>
      </c>
      <c r="P25">
        <v>8.0299999999999994</v>
      </c>
      <c r="R25">
        <f t="shared" si="1"/>
        <v>69.473127035830615</v>
      </c>
      <c r="T25">
        <f t="shared" si="2"/>
        <v>66.460097719869694</v>
      </c>
      <c r="V25">
        <f t="shared" si="3"/>
        <v>64.505700325732889</v>
      </c>
      <c r="X25" s="26">
        <f t="shared" si="4"/>
        <v>69.473127035830615</v>
      </c>
      <c r="Y25" s="26">
        <f t="shared" si="5"/>
        <v>66.460097719869694</v>
      </c>
      <c r="Z25" s="26">
        <f t="shared" si="6"/>
        <v>64.505700325732889</v>
      </c>
      <c r="AA25" s="27">
        <f t="shared" si="7"/>
        <v>66.81297502714439</v>
      </c>
      <c r="AB25" s="27">
        <f t="shared" si="8"/>
        <v>2.5024435709002839</v>
      </c>
      <c r="AF25" s="22"/>
      <c r="AG25" s="22"/>
    </row>
    <row r="26" spans="1:33" x14ac:dyDescent="0.25">
      <c r="A26">
        <f>46</f>
        <v>46</v>
      </c>
      <c r="B26" s="22" t="s">
        <v>55</v>
      </c>
      <c r="C26">
        <v>12.07</v>
      </c>
      <c r="D26" s="20" t="s">
        <v>33</v>
      </c>
      <c r="K26" s="20" t="s">
        <v>33</v>
      </c>
      <c r="L26">
        <v>0</v>
      </c>
      <c r="N26">
        <v>0</v>
      </c>
      <c r="P26">
        <v>0</v>
      </c>
      <c r="R26">
        <v>0</v>
      </c>
      <c r="T26">
        <v>0</v>
      </c>
      <c r="V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f>(X25-X26)/49.5</f>
        <v>1.403497515875366</v>
      </c>
      <c r="AD26">
        <f>(Y25-Y26)/49.5</f>
        <v>1.3426282367650444</v>
      </c>
      <c r="AE26">
        <f>(Z25-Z26)/49.5</f>
        <v>1.303145461125917</v>
      </c>
      <c r="AF26" s="22">
        <f>AVERAGE(AC26:AE26)</f>
        <v>1.3497570712554425</v>
      </c>
      <c r="AG26" s="22">
        <f>STDEV(AC26:AE26)</f>
        <v>5.0554415573743093E-2</v>
      </c>
    </row>
    <row r="27" spans="1:33" x14ac:dyDescent="0.25">
      <c r="C27">
        <v>13.07</v>
      </c>
      <c r="D27">
        <v>1600</v>
      </c>
      <c r="K27">
        <v>1600</v>
      </c>
    </row>
    <row r="28" spans="1:33" x14ac:dyDescent="0.25">
      <c r="C28">
        <v>13.07</v>
      </c>
      <c r="D28">
        <v>1700</v>
      </c>
      <c r="K28">
        <v>1700</v>
      </c>
    </row>
    <row r="29" spans="1:33" x14ac:dyDescent="0.25">
      <c r="C29">
        <v>14.07</v>
      </c>
      <c r="D29" t="s">
        <v>35</v>
      </c>
      <c r="K29" t="s">
        <v>35</v>
      </c>
    </row>
    <row r="30" spans="1:33" x14ac:dyDescent="0.25">
      <c r="C30" s="19">
        <v>42933</v>
      </c>
      <c r="D30" s="20" t="s">
        <v>36</v>
      </c>
      <c r="K30" s="20" t="s">
        <v>36</v>
      </c>
    </row>
    <row r="31" spans="1:33" x14ac:dyDescent="0.25">
      <c r="C31">
        <v>18.07</v>
      </c>
      <c r="K31" s="20" t="s">
        <v>36</v>
      </c>
    </row>
    <row r="32" spans="1:33" x14ac:dyDescent="0.25">
      <c r="C32">
        <v>21.07</v>
      </c>
      <c r="K32" t="s">
        <v>39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3"/>
  <sheetViews>
    <sheetView workbookViewId="0">
      <selection activeCell="A2" sqref="A2"/>
    </sheetView>
  </sheetViews>
  <sheetFormatPr defaultRowHeight="15" x14ac:dyDescent="0.25"/>
  <cols>
    <col min="4" max="10" width="0" hidden="1" customWidth="1"/>
  </cols>
  <sheetData>
    <row r="1" spans="1:29" ht="14.25" customHeight="1" x14ac:dyDescent="0.4">
      <c r="A1" t="s">
        <v>110</v>
      </c>
      <c r="C1" t="s">
        <v>85</v>
      </c>
      <c r="D1" s="2"/>
      <c r="G1" s="2"/>
      <c r="L1" s="3"/>
      <c r="M1" s="3"/>
      <c r="N1" s="4"/>
      <c r="O1" s="4"/>
      <c r="P1" s="31" t="s">
        <v>64</v>
      </c>
      <c r="Q1" s="3"/>
      <c r="X1" s="5">
        <v>53.1</v>
      </c>
      <c r="Z1" s="5">
        <v>53.2</v>
      </c>
      <c r="AA1" s="6"/>
      <c r="AB1" s="5">
        <v>53.3</v>
      </c>
    </row>
    <row r="2" spans="1:29" x14ac:dyDescent="0.25">
      <c r="A2" t="s">
        <v>52</v>
      </c>
      <c r="C2" s="2"/>
      <c r="F2" s="2"/>
      <c r="G2" s="2"/>
      <c r="H2" s="2"/>
      <c r="I2" s="7"/>
      <c r="L2" s="8"/>
      <c r="M2" s="8"/>
      <c r="N2" s="9"/>
      <c r="O2" s="9"/>
      <c r="P2" s="8"/>
      <c r="Q2" s="3"/>
    </row>
    <row r="3" spans="1:29" ht="18.75" x14ac:dyDescent="0.3">
      <c r="C3" s="5" t="s">
        <v>103</v>
      </c>
      <c r="D3" s="5"/>
      <c r="E3" s="5"/>
      <c r="F3" s="5"/>
      <c r="G3" s="5"/>
      <c r="H3" s="5"/>
      <c r="I3" s="5"/>
      <c r="J3" s="5"/>
      <c r="K3" s="5"/>
      <c r="L3" s="5">
        <v>53.1</v>
      </c>
      <c r="N3" s="5">
        <v>53.2</v>
      </c>
      <c r="O3" s="6"/>
      <c r="P3" s="5">
        <v>53.3</v>
      </c>
      <c r="Q3" s="10"/>
      <c r="R3" t="s">
        <v>0</v>
      </c>
      <c r="T3" t="s">
        <v>1</v>
      </c>
      <c r="V3" t="s">
        <v>2</v>
      </c>
      <c r="X3" s="1" t="s">
        <v>0</v>
      </c>
      <c r="Y3" s="1" t="s">
        <v>1</v>
      </c>
      <c r="Z3" s="1" t="s">
        <v>2</v>
      </c>
      <c r="AA3" s="11"/>
      <c r="AB3" s="11"/>
    </row>
    <row r="4" spans="1:29" ht="15.75" x14ac:dyDescent="0.25">
      <c r="A4" t="s">
        <v>3</v>
      </c>
      <c r="B4" t="s">
        <v>4</v>
      </c>
      <c r="C4" s="12" t="s">
        <v>5</v>
      </c>
      <c r="D4" s="12"/>
      <c r="E4" s="12"/>
      <c r="F4" s="12"/>
      <c r="G4" s="12"/>
      <c r="H4" s="12"/>
      <c r="I4" s="13"/>
      <c r="J4" s="13"/>
      <c r="K4" s="13"/>
      <c r="L4" s="14" t="s">
        <v>6</v>
      </c>
      <c r="M4" s="14"/>
      <c r="N4" s="15" t="s">
        <v>6</v>
      </c>
      <c r="O4" s="15"/>
      <c r="P4" s="14" t="s">
        <v>6</v>
      </c>
      <c r="Q4" s="14"/>
      <c r="R4" s="16" t="s">
        <v>7</v>
      </c>
      <c r="S4" s="17"/>
      <c r="T4" s="18"/>
      <c r="U4" s="18"/>
      <c r="V4" s="18"/>
      <c r="W4" s="18"/>
      <c r="X4" t="s">
        <v>8</v>
      </c>
      <c r="Y4" t="s">
        <v>9</v>
      </c>
      <c r="Z4" t="s">
        <v>10</v>
      </c>
      <c r="AB4" s="11" t="s">
        <v>11</v>
      </c>
      <c r="AC4" s="11" t="s">
        <v>12</v>
      </c>
    </row>
    <row r="5" spans="1:29" x14ac:dyDescent="0.25">
      <c r="A5">
        <v>0</v>
      </c>
      <c r="C5" s="19" t="s">
        <v>13</v>
      </c>
      <c r="D5" t="s">
        <v>14</v>
      </c>
      <c r="K5" t="s">
        <v>14</v>
      </c>
      <c r="L5">
        <v>5.65</v>
      </c>
      <c r="M5">
        <v>5.74</v>
      </c>
      <c r="N5">
        <v>5.65</v>
      </c>
      <c r="O5">
        <v>5.74</v>
      </c>
      <c r="P5">
        <v>5.65</v>
      </c>
      <c r="Q5">
        <v>5.74</v>
      </c>
      <c r="R5" s="26">
        <f>(L5-0.1087)/0.1228</f>
        <v>45.124592833876221</v>
      </c>
      <c r="S5" s="26">
        <f>(M5-0.1087)/0.1228</f>
        <v>45.857491856677527</v>
      </c>
      <c r="T5" s="26">
        <f>(N5-0.1087)/0.1228</f>
        <v>45.124592833876221</v>
      </c>
      <c r="U5" s="26">
        <f>(O5-0.1087)/0.1228</f>
        <v>45.857491856677527</v>
      </c>
      <c r="V5" s="26">
        <f>(P5-0.1087)/0.1228</f>
        <v>45.124592833876221</v>
      </c>
      <c r="W5" s="26"/>
      <c r="X5" s="26"/>
      <c r="Y5" s="26"/>
      <c r="Z5" s="26"/>
      <c r="AB5" s="27">
        <f t="shared" ref="AB5:AB20" si="0">AVERAGE(R5:W5)</f>
        <v>45.417752442996751</v>
      </c>
      <c r="AC5" s="27">
        <f t="shared" ref="AC5:AC20" si="1">STDEV(R5:W5)</f>
        <v>0.4014253271617681</v>
      </c>
    </row>
    <row r="6" spans="1:29" x14ac:dyDescent="0.25">
      <c r="A6">
        <f>24-3.5</f>
        <v>20.5</v>
      </c>
      <c r="C6">
        <v>27.06</v>
      </c>
      <c r="D6" t="s">
        <v>15</v>
      </c>
      <c r="K6" t="s">
        <v>15</v>
      </c>
      <c r="L6">
        <v>4.1100000000000003</v>
      </c>
      <c r="N6">
        <v>4.1100000000000003</v>
      </c>
      <c r="P6">
        <v>4.37</v>
      </c>
      <c r="R6" s="26">
        <f t="shared" ref="R6:R20" si="2">(L6-0.1087)/0.1228</f>
        <v>32.583876221498372</v>
      </c>
      <c r="S6" s="26"/>
      <c r="T6" s="26">
        <f t="shared" ref="T6:T20" si="3">(N6-0.1087)/0.1228</f>
        <v>32.583876221498372</v>
      </c>
      <c r="U6" s="26"/>
      <c r="V6" s="26">
        <f t="shared" ref="V6:V20" si="4">(P6-0.1087)/0.1228</f>
        <v>34.701140065146582</v>
      </c>
      <c r="AB6" s="27">
        <f t="shared" si="0"/>
        <v>33.28963083604777</v>
      </c>
      <c r="AC6" s="27">
        <f t="shared" si="1"/>
        <v>1.222402850075756</v>
      </c>
    </row>
    <row r="7" spans="1:29" s="34" customFormat="1" x14ac:dyDescent="0.25">
      <c r="A7" s="34">
        <f>47.5</f>
        <v>47.5</v>
      </c>
      <c r="C7" s="34">
        <v>28.06</v>
      </c>
      <c r="D7" s="34" t="s">
        <v>16</v>
      </c>
      <c r="K7" s="34" t="s">
        <v>16</v>
      </c>
      <c r="L7" s="34">
        <v>4.18</v>
      </c>
      <c r="N7" s="34">
        <v>4.28</v>
      </c>
      <c r="P7" s="34">
        <v>4.4000000000000004</v>
      </c>
      <c r="R7" s="35">
        <f t="shared" si="2"/>
        <v>33.153908794788272</v>
      </c>
      <c r="S7" s="35"/>
      <c r="T7" s="35">
        <f t="shared" si="3"/>
        <v>33.968241042345277</v>
      </c>
      <c r="U7" s="35"/>
      <c r="V7" s="35">
        <f t="shared" si="4"/>
        <v>34.945439739413686</v>
      </c>
      <c r="W7" s="34">
        <f>(R5-R7)/47.5</f>
        <v>0.25201440082290422</v>
      </c>
      <c r="X7" s="34">
        <f>(T5-T7)/47.5</f>
        <v>0.23487056403223042</v>
      </c>
      <c r="Y7" s="34">
        <f>(V5-V7)/47.5</f>
        <v>0.21429795988342179</v>
      </c>
      <c r="Z7">
        <f>AVERAGE(W7:Y7)</f>
        <v>0.23372764157951884</v>
      </c>
      <c r="AA7">
        <f>STDEV(W7:Y7)</f>
        <v>1.8884178115159016E-2</v>
      </c>
      <c r="AB7" s="35">
        <f t="shared" si="0"/>
        <v>25.579900994342534</v>
      </c>
      <c r="AC7" s="35">
        <f t="shared" si="1"/>
        <v>16.901134066503346</v>
      </c>
    </row>
    <row r="8" spans="1:29" x14ac:dyDescent="0.25">
      <c r="A8">
        <f>24*3-2.5</f>
        <v>69.5</v>
      </c>
      <c r="C8">
        <v>29.06</v>
      </c>
      <c r="D8" t="s">
        <v>17</v>
      </c>
      <c r="K8" t="s">
        <v>17</v>
      </c>
      <c r="L8">
        <v>4.58</v>
      </c>
      <c r="M8">
        <v>4.6900000000000004</v>
      </c>
      <c r="N8">
        <v>5.05</v>
      </c>
      <c r="O8">
        <v>5.05</v>
      </c>
      <c r="P8">
        <v>4.57</v>
      </c>
      <c r="Q8">
        <v>4.54</v>
      </c>
      <c r="R8" s="26">
        <f t="shared" si="2"/>
        <v>36.41123778501629</v>
      </c>
      <c r="S8" s="26">
        <f>(M8-0.1087)/0.1228</f>
        <v>37.307003257328994</v>
      </c>
      <c r="T8" s="26">
        <f t="shared" si="3"/>
        <v>40.238599348534201</v>
      </c>
      <c r="U8" s="26">
        <f>(O8-0.1087)/0.1228</f>
        <v>40.238599348534201</v>
      </c>
      <c r="V8" s="26">
        <f t="shared" si="4"/>
        <v>36.329804560260591</v>
      </c>
      <c r="AB8" s="27">
        <f t="shared" si="0"/>
        <v>38.105048859934854</v>
      </c>
      <c r="AC8" s="27">
        <f t="shared" si="1"/>
        <v>1.9850340324340991</v>
      </c>
    </row>
    <row r="9" spans="1:29" x14ac:dyDescent="0.25">
      <c r="A9">
        <f>24*4-3</f>
        <v>93</v>
      </c>
      <c r="C9">
        <v>30.06</v>
      </c>
      <c r="D9" t="s">
        <v>18</v>
      </c>
      <c r="K9" t="s">
        <v>18</v>
      </c>
      <c r="L9">
        <v>4.38</v>
      </c>
      <c r="M9">
        <v>4.37</v>
      </c>
      <c r="N9">
        <v>4.34</v>
      </c>
      <c r="O9">
        <v>4.17</v>
      </c>
      <c r="P9">
        <v>4.76</v>
      </c>
      <c r="Q9">
        <v>4.6100000000000003</v>
      </c>
      <c r="R9" s="26">
        <f t="shared" si="2"/>
        <v>34.782573289902281</v>
      </c>
      <c r="S9" s="26">
        <f>(M9-0.1087)/0.1228</f>
        <v>34.701140065146582</v>
      </c>
      <c r="T9" s="26">
        <f t="shared" si="3"/>
        <v>34.456840390879478</v>
      </c>
      <c r="U9" s="26">
        <f>(O9-0.1087)/0.1228</f>
        <v>33.072475570032573</v>
      </c>
      <c r="V9" s="26">
        <f t="shared" si="4"/>
        <v>37.877035830618894</v>
      </c>
      <c r="AB9" s="27">
        <f t="shared" si="0"/>
        <v>34.97801302931596</v>
      </c>
      <c r="AC9" s="27">
        <f t="shared" si="1"/>
        <v>1.7622345516624174</v>
      </c>
    </row>
    <row r="10" spans="1:29" hidden="1" x14ac:dyDescent="0.25">
      <c r="C10">
        <v>30.06</v>
      </c>
      <c r="D10" t="s">
        <v>18</v>
      </c>
      <c r="K10" t="s">
        <v>17</v>
      </c>
      <c r="R10" s="26">
        <f t="shared" si="2"/>
        <v>-0.88517915309446249</v>
      </c>
      <c r="S10" s="26">
        <f>(M10-0.1087)/0.1228</f>
        <v>-0.88517915309446249</v>
      </c>
      <c r="T10" s="26">
        <f t="shared" si="3"/>
        <v>-0.88517915309446249</v>
      </c>
      <c r="U10" s="26">
        <f>(O10-0.1087)/0.1228</f>
        <v>-0.88517915309446249</v>
      </c>
      <c r="V10" s="26">
        <f t="shared" si="4"/>
        <v>-0.88517915309446249</v>
      </c>
      <c r="AB10" s="27">
        <f t="shared" si="0"/>
        <v>-0.8851791530944626</v>
      </c>
      <c r="AC10" s="27">
        <f t="shared" si="1"/>
        <v>1.2412670766236366E-16</v>
      </c>
    </row>
    <row r="11" spans="1:29" hidden="1" x14ac:dyDescent="0.25">
      <c r="C11" t="s">
        <v>20</v>
      </c>
      <c r="D11" t="s">
        <v>21</v>
      </c>
      <c r="K11" t="s">
        <v>21</v>
      </c>
      <c r="R11" s="26">
        <f t="shared" si="2"/>
        <v>-0.88517915309446249</v>
      </c>
      <c r="S11" s="26">
        <f>(M11-0.1087)/0.1228</f>
        <v>-0.88517915309446249</v>
      </c>
      <c r="T11" s="26">
        <f t="shared" si="3"/>
        <v>-0.88517915309446249</v>
      </c>
      <c r="U11" s="26">
        <f>(O11-0.1087)/0.1228</f>
        <v>-0.88517915309446249</v>
      </c>
      <c r="V11" s="26">
        <f t="shared" si="4"/>
        <v>-0.88517915309446249</v>
      </c>
      <c r="AB11" s="27">
        <f t="shared" si="0"/>
        <v>-0.8851791530944626</v>
      </c>
      <c r="AC11" s="27">
        <f t="shared" si="1"/>
        <v>1.2412670766236366E-16</v>
      </c>
    </row>
    <row r="12" spans="1:29" hidden="1" x14ac:dyDescent="0.25">
      <c r="C12" t="s">
        <v>20</v>
      </c>
      <c r="D12" t="s">
        <v>24</v>
      </c>
      <c r="K12" t="s">
        <v>24</v>
      </c>
      <c r="R12" s="26">
        <f t="shared" si="2"/>
        <v>-0.88517915309446249</v>
      </c>
      <c r="S12" s="26">
        <f>(M12-0.1087)/0.1228</f>
        <v>-0.88517915309446249</v>
      </c>
      <c r="T12" s="26">
        <f t="shared" si="3"/>
        <v>-0.88517915309446249</v>
      </c>
      <c r="U12" s="26">
        <f>(O12-0.1087)/0.1228</f>
        <v>-0.88517915309446249</v>
      </c>
      <c r="V12" s="26">
        <f t="shared" si="4"/>
        <v>-0.88517915309446249</v>
      </c>
      <c r="AB12" s="27">
        <f t="shared" si="0"/>
        <v>-0.8851791530944626</v>
      </c>
      <c r="AC12" s="27">
        <f t="shared" si="1"/>
        <v>1.2412670766236366E-16</v>
      </c>
    </row>
    <row r="13" spans="1:29" x14ac:dyDescent="0.25">
      <c r="A13">
        <f>5*24-6</f>
        <v>114</v>
      </c>
      <c r="C13" t="s">
        <v>20</v>
      </c>
      <c r="D13" t="s">
        <v>24</v>
      </c>
      <c r="K13" t="s">
        <v>24</v>
      </c>
      <c r="L13">
        <v>4.05</v>
      </c>
      <c r="N13">
        <v>4.05</v>
      </c>
      <c r="P13">
        <v>4.0199999999999996</v>
      </c>
      <c r="R13" s="26">
        <f t="shared" si="2"/>
        <v>32.09527687296417</v>
      </c>
      <c r="S13" s="26"/>
      <c r="T13" s="26">
        <f t="shared" si="3"/>
        <v>32.09527687296417</v>
      </c>
      <c r="U13" s="26"/>
      <c r="V13" s="26">
        <f t="shared" si="4"/>
        <v>31.850977198697066</v>
      </c>
      <c r="AB13" s="27">
        <f t="shared" si="0"/>
        <v>32.013843648208471</v>
      </c>
      <c r="AC13" s="27">
        <f t="shared" si="1"/>
        <v>0.1410464827010505</v>
      </c>
    </row>
    <row r="14" spans="1:29" hidden="1" x14ac:dyDescent="0.25">
      <c r="A14">
        <f>A13+7</f>
        <v>121</v>
      </c>
      <c r="C14">
        <v>3.07</v>
      </c>
      <c r="D14" t="s">
        <v>25</v>
      </c>
      <c r="K14" t="s">
        <v>25</v>
      </c>
      <c r="R14" s="26">
        <f t="shared" si="2"/>
        <v>-0.88517915309446249</v>
      </c>
      <c r="S14" s="26"/>
      <c r="T14" s="26">
        <f t="shared" si="3"/>
        <v>-0.88517915309446249</v>
      </c>
      <c r="U14" s="26"/>
      <c r="V14" s="26">
        <f t="shared" si="4"/>
        <v>-0.88517915309446249</v>
      </c>
      <c r="AB14" s="27">
        <f t="shared" si="0"/>
        <v>-0.88517915309446249</v>
      </c>
      <c r="AC14" s="27">
        <f t="shared" si="1"/>
        <v>0</v>
      </c>
    </row>
    <row r="15" spans="1:29" x14ac:dyDescent="0.25">
      <c r="A15">
        <f>A13+48+4</f>
        <v>166</v>
      </c>
      <c r="C15">
        <v>4.07</v>
      </c>
      <c r="D15" t="s">
        <v>26</v>
      </c>
      <c r="K15" t="s">
        <v>26</v>
      </c>
      <c r="L15">
        <v>3.52</v>
      </c>
      <c r="N15">
        <v>3.29</v>
      </c>
      <c r="P15">
        <v>3.66</v>
      </c>
      <c r="R15" s="26">
        <f t="shared" si="2"/>
        <v>27.779315960912051</v>
      </c>
      <c r="S15" s="26"/>
      <c r="T15" s="26">
        <f t="shared" si="3"/>
        <v>25.906351791530945</v>
      </c>
      <c r="U15" s="26"/>
      <c r="V15" s="26">
        <f t="shared" si="4"/>
        <v>28.919381107491859</v>
      </c>
      <c r="AB15" s="27">
        <f t="shared" si="0"/>
        <v>27.53501628664495</v>
      </c>
      <c r="AC15" s="27">
        <f t="shared" si="1"/>
        <v>1.5212981834095614</v>
      </c>
    </row>
    <row r="16" spans="1:29" hidden="1" x14ac:dyDescent="0.25">
      <c r="C16">
        <v>4.07</v>
      </c>
      <c r="D16" t="s">
        <v>27</v>
      </c>
      <c r="K16" t="s">
        <v>27</v>
      </c>
      <c r="R16" s="26">
        <f t="shared" si="2"/>
        <v>-0.88517915309446249</v>
      </c>
      <c r="S16" s="26"/>
      <c r="T16" s="26">
        <f t="shared" si="3"/>
        <v>-0.88517915309446249</v>
      </c>
      <c r="U16" s="26"/>
      <c r="V16" s="26">
        <f t="shared" si="4"/>
        <v>-0.88517915309446249</v>
      </c>
      <c r="AB16" s="27">
        <f t="shared" si="0"/>
        <v>-0.88517915309446249</v>
      </c>
      <c r="AC16" s="27">
        <f t="shared" si="1"/>
        <v>0</v>
      </c>
    </row>
    <row r="17" spans="1:29" hidden="1" x14ac:dyDescent="0.25">
      <c r="C17">
        <v>4.07</v>
      </c>
      <c r="D17" t="s">
        <v>28</v>
      </c>
      <c r="K17" t="s">
        <v>28</v>
      </c>
      <c r="R17" s="26">
        <f t="shared" si="2"/>
        <v>-0.88517915309446249</v>
      </c>
      <c r="S17" s="26"/>
      <c r="T17" s="26">
        <f t="shared" si="3"/>
        <v>-0.88517915309446249</v>
      </c>
      <c r="U17" s="26"/>
      <c r="V17" s="26">
        <f t="shared" si="4"/>
        <v>-0.88517915309446249</v>
      </c>
      <c r="AB17" s="27">
        <f t="shared" si="0"/>
        <v>-0.88517915309446249</v>
      </c>
      <c r="AC17" s="27">
        <f t="shared" si="1"/>
        <v>0</v>
      </c>
    </row>
    <row r="18" spans="1:29" hidden="1" x14ac:dyDescent="0.25">
      <c r="A18">
        <f>A15+24</f>
        <v>190</v>
      </c>
      <c r="C18">
        <v>5.07</v>
      </c>
      <c r="D18" t="s">
        <v>18</v>
      </c>
      <c r="K18" t="s">
        <v>18</v>
      </c>
      <c r="R18" s="26">
        <f t="shared" si="2"/>
        <v>-0.88517915309446249</v>
      </c>
      <c r="S18" s="26"/>
      <c r="T18" s="26">
        <f t="shared" si="3"/>
        <v>-0.88517915309446249</v>
      </c>
      <c r="U18" s="26"/>
      <c r="V18" s="26">
        <f t="shared" si="4"/>
        <v>-0.88517915309446249</v>
      </c>
      <c r="AB18" s="27">
        <f t="shared" si="0"/>
        <v>-0.88517915309446249</v>
      </c>
      <c r="AC18" s="27">
        <f t="shared" si="1"/>
        <v>0</v>
      </c>
    </row>
    <row r="19" spans="1:29" s="34" customFormat="1" x14ac:dyDescent="0.25">
      <c r="A19" s="34">
        <f>A18+27</f>
        <v>217</v>
      </c>
      <c r="C19" s="34">
        <v>6.07</v>
      </c>
      <c r="D19" s="34" t="s">
        <v>14</v>
      </c>
      <c r="K19" s="34" t="s">
        <v>14</v>
      </c>
      <c r="L19" s="34">
        <v>1.73</v>
      </c>
      <c r="N19" s="34">
        <v>3.16</v>
      </c>
      <c r="P19" s="34">
        <v>2.69</v>
      </c>
      <c r="R19" s="35">
        <f t="shared" si="2"/>
        <v>13.202768729641694</v>
      </c>
      <c r="S19" s="35"/>
      <c r="T19" s="35">
        <f t="shared" si="3"/>
        <v>24.847719869706843</v>
      </c>
      <c r="U19" s="35"/>
      <c r="V19" s="35">
        <f t="shared" si="4"/>
        <v>21.020358306188925</v>
      </c>
      <c r="W19" s="34">
        <f>(R5-R19)/47.5</f>
        <v>0.67203840219441113</v>
      </c>
      <c r="X19" s="34">
        <f>(T5-T19)/47.5</f>
        <v>0.4268815360877764</v>
      </c>
      <c r="Y19" s="34">
        <f>(V5-V19)/47.5</f>
        <v>0.50745756900394312</v>
      </c>
      <c r="Z19">
        <f>AVERAGE(W19:Y19)</f>
        <v>0.53545916909537683</v>
      </c>
      <c r="AA19">
        <f>STDEV(W19:Y19)</f>
        <v>0.12495414941316267</v>
      </c>
      <c r="AB19" s="35">
        <f t="shared" si="0"/>
        <v>14.935721326932969</v>
      </c>
      <c r="AC19" s="35">
        <f t="shared" si="1"/>
        <v>10.672804966568338</v>
      </c>
    </row>
    <row r="20" spans="1:29" x14ac:dyDescent="0.25">
      <c r="A20">
        <f>A19+22</f>
        <v>239</v>
      </c>
      <c r="C20">
        <v>7.07</v>
      </c>
      <c r="D20" t="s">
        <v>29</v>
      </c>
      <c r="K20" t="s">
        <v>29</v>
      </c>
      <c r="L20">
        <v>2.08</v>
      </c>
      <c r="N20">
        <v>2.77</v>
      </c>
      <c r="P20">
        <v>0.43</v>
      </c>
      <c r="R20" s="26">
        <f t="shared" si="2"/>
        <v>16.052931596091206</v>
      </c>
      <c r="S20" s="26"/>
      <c r="T20" s="26">
        <f t="shared" si="3"/>
        <v>21.671824104234528</v>
      </c>
      <c r="U20" s="26"/>
      <c r="V20" s="26">
        <f t="shared" si="4"/>
        <v>2.616449511400651</v>
      </c>
      <c r="AB20" s="27">
        <f t="shared" si="0"/>
        <v>13.447068403908794</v>
      </c>
      <c r="AC20" s="27">
        <f t="shared" si="1"/>
        <v>9.791308260420724</v>
      </c>
    </row>
    <row r="21" spans="1:29" x14ac:dyDescent="0.25">
      <c r="C21">
        <v>7.07</v>
      </c>
      <c r="D21" t="s">
        <v>24</v>
      </c>
      <c r="K21" t="s">
        <v>24</v>
      </c>
    </row>
    <row r="22" spans="1:29" x14ac:dyDescent="0.25">
      <c r="C22">
        <v>7.07</v>
      </c>
      <c r="D22" t="s">
        <v>24</v>
      </c>
      <c r="K22" t="s">
        <v>38</v>
      </c>
    </row>
    <row r="23" spans="1:29" x14ac:dyDescent="0.25">
      <c r="C23">
        <v>8.07</v>
      </c>
      <c r="D23" t="s">
        <v>31</v>
      </c>
      <c r="K23" t="s">
        <v>31</v>
      </c>
    </row>
    <row r="24" spans="1:29" x14ac:dyDescent="0.25">
      <c r="C24">
        <v>10.07</v>
      </c>
      <c r="D24" s="20" t="s">
        <v>32</v>
      </c>
      <c r="K24" s="20" t="s">
        <v>32</v>
      </c>
    </row>
    <row r="25" spans="1:29" x14ac:dyDescent="0.25">
      <c r="C25">
        <v>12.07</v>
      </c>
      <c r="D25" s="20" t="s">
        <v>33</v>
      </c>
      <c r="K25" s="20" t="s">
        <v>33</v>
      </c>
    </row>
    <row r="26" spans="1:29" x14ac:dyDescent="0.25">
      <c r="C26">
        <v>13.07</v>
      </c>
      <c r="D26">
        <v>1600</v>
      </c>
      <c r="K26">
        <v>1600</v>
      </c>
    </row>
    <row r="27" spans="1:29" x14ac:dyDescent="0.25">
      <c r="C27">
        <v>13.07</v>
      </c>
      <c r="D27">
        <v>1700</v>
      </c>
      <c r="K27">
        <v>1700</v>
      </c>
    </row>
    <row r="28" spans="1:29" x14ac:dyDescent="0.25">
      <c r="C28">
        <v>14.07</v>
      </c>
      <c r="D28" t="s">
        <v>35</v>
      </c>
      <c r="K28" t="s">
        <v>35</v>
      </c>
    </row>
    <row r="29" spans="1:29" x14ac:dyDescent="0.25">
      <c r="C29" s="19">
        <v>42933</v>
      </c>
      <c r="D29" s="20" t="s">
        <v>36</v>
      </c>
      <c r="K29" s="20" t="s">
        <v>36</v>
      </c>
      <c r="Q29">
        <v>220</v>
      </c>
    </row>
    <row r="30" spans="1:29" x14ac:dyDescent="0.25">
      <c r="C30">
        <v>18.07</v>
      </c>
      <c r="K30" s="20" t="s">
        <v>36</v>
      </c>
      <c r="O30" t="s">
        <v>87</v>
      </c>
      <c r="P30" t="s">
        <v>88</v>
      </c>
      <c r="R30" t="s">
        <v>88</v>
      </c>
    </row>
    <row r="31" spans="1:29" x14ac:dyDescent="0.25">
      <c r="C31">
        <v>21.07</v>
      </c>
      <c r="K31" t="s">
        <v>39</v>
      </c>
      <c r="N31" t="s">
        <v>89</v>
      </c>
      <c r="O31">
        <f>92-79</f>
        <v>13</v>
      </c>
      <c r="P31">
        <f>O31/49/10</f>
        <v>2.6530612244897962E-2</v>
      </c>
      <c r="Q31">
        <f>91.8-70.5</f>
        <v>21.299999999999997</v>
      </c>
      <c r="R31">
        <f>Q31/Q29</f>
        <v>9.6818181818181803E-2</v>
      </c>
    </row>
    <row r="32" spans="1:29" x14ac:dyDescent="0.25">
      <c r="N32" t="s">
        <v>90</v>
      </c>
      <c r="O32">
        <f>45.5-34</f>
        <v>11.5</v>
      </c>
      <c r="P32">
        <f>O32/47.5</f>
        <v>0.24210526315789474</v>
      </c>
      <c r="Q32">
        <f>45.5-18.5</f>
        <v>27</v>
      </c>
      <c r="R32">
        <f>Q32/218.5</f>
        <v>0.12356979405034325</v>
      </c>
    </row>
    <row r="33" spans="1:18" x14ac:dyDescent="0.25">
      <c r="N33" t="s">
        <v>89</v>
      </c>
      <c r="O33">
        <f>45.5-40.8</f>
        <v>4.7000000000000028</v>
      </c>
      <c r="P33">
        <f>O33/40.8</f>
        <v>0.11519607843137263</v>
      </c>
      <c r="Q33">
        <f>45.5-18.5</f>
        <v>27</v>
      </c>
      <c r="R33">
        <f>Q33/218.5</f>
        <v>0.12356979405034325</v>
      </c>
    </row>
    <row r="35" spans="1:18" x14ac:dyDescent="0.25">
      <c r="B35" t="s">
        <v>79</v>
      </c>
      <c r="C35" t="s">
        <v>70</v>
      </c>
      <c r="D35" t="s">
        <v>69</v>
      </c>
      <c r="E35" t="s">
        <v>69</v>
      </c>
      <c r="F35" t="s">
        <v>69</v>
      </c>
      <c r="G35" t="s">
        <v>69</v>
      </c>
      <c r="H35" t="s">
        <v>69</v>
      </c>
      <c r="I35" t="s">
        <v>69</v>
      </c>
      <c r="J35" t="s">
        <v>69</v>
      </c>
      <c r="K35" t="s">
        <v>82</v>
      </c>
      <c r="L35" t="s">
        <v>75</v>
      </c>
      <c r="M35" t="s">
        <v>84</v>
      </c>
    </row>
    <row r="36" spans="1:18" x14ac:dyDescent="0.25">
      <c r="A36" t="s">
        <v>67</v>
      </c>
      <c r="B36">
        <v>5.8999999999999999E-3</v>
      </c>
      <c r="C36">
        <v>5.4999999999999997E-3</v>
      </c>
      <c r="K36">
        <v>0.1075</v>
      </c>
      <c r="M36" t="s">
        <v>77</v>
      </c>
    </row>
    <row r="37" spans="1:18" x14ac:dyDescent="0.25">
      <c r="A37" t="s">
        <v>68</v>
      </c>
      <c r="B37">
        <v>5.8999999999999999E-3</v>
      </c>
      <c r="K37">
        <v>8.77E-2</v>
      </c>
      <c r="M37" t="s">
        <v>78</v>
      </c>
    </row>
    <row r="38" spans="1:18" x14ac:dyDescent="0.25">
      <c r="A38" t="s">
        <v>71</v>
      </c>
      <c r="B38" t="s">
        <v>76</v>
      </c>
      <c r="K38">
        <v>7.9299999999999995E-2</v>
      </c>
      <c r="M38" t="s">
        <v>77</v>
      </c>
    </row>
    <row r="39" spans="1:18" x14ac:dyDescent="0.25">
      <c r="A39" t="s">
        <v>72</v>
      </c>
      <c r="B39">
        <f>(2.5*0.12)/(9*24)</f>
        <v>1.3888888888888889E-3</v>
      </c>
      <c r="K39">
        <v>8.6400000000000001E-3</v>
      </c>
      <c r="L39" t="s">
        <v>86</v>
      </c>
    </row>
    <row r="40" spans="1:18" x14ac:dyDescent="0.25">
      <c r="A40" t="s">
        <v>73</v>
      </c>
      <c r="B40" t="s">
        <v>86</v>
      </c>
      <c r="K40">
        <v>1.0200000000000001E-2</v>
      </c>
      <c r="L40" t="s">
        <v>86</v>
      </c>
    </row>
    <row r="41" spans="1:18" x14ac:dyDescent="0.25">
      <c r="A41" t="s">
        <v>74</v>
      </c>
      <c r="B41">
        <v>3.3999999999999998E-3</v>
      </c>
      <c r="K41" t="s">
        <v>83</v>
      </c>
      <c r="L41">
        <v>2.7400000000000001E-2</v>
      </c>
    </row>
    <row r="42" spans="1:18" x14ac:dyDescent="0.25">
      <c r="A42" t="s">
        <v>80</v>
      </c>
      <c r="K42">
        <v>1.736E-2</v>
      </c>
    </row>
    <row r="43" spans="1:18" x14ac:dyDescent="0.25">
      <c r="A43" t="s">
        <v>81</v>
      </c>
      <c r="K43">
        <v>9.8899999999999995E-3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0"/>
  <sheetViews>
    <sheetView workbookViewId="0">
      <selection activeCell="A2" sqref="A2"/>
    </sheetView>
  </sheetViews>
  <sheetFormatPr defaultRowHeight="15" x14ac:dyDescent="0.25"/>
  <cols>
    <col min="4" max="10" width="0" hidden="1" customWidth="1"/>
  </cols>
  <sheetData>
    <row r="1" spans="1:38" ht="26.25" x14ac:dyDescent="0.4">
      <c r="B1" t="s">
        <v>85</v>
      </c>
      <c r="C1" s="1"/>
      <c r="D1" s="2"/>
      <c r="G1" s="2"/>
      <c r="L1" s="3"/>
      <c r="M1" s="3"/>
      <c r="N1" s="4"/>
      <c r="O1" s="30" t="s">
        <v>50</v>
      </c>
      <c r="P1" s="3"/>
      <c r="Q1" s="3"/>
      <c r="R1" s="3"/>
      <c r="S1" s="3"/>
      <c r="Z1" s="5">
        <v>54.1</v>
      </c>
      <c r="AB1" s="5">
        <v>54.2</v>
      </c>
      <c r="AC1" s="6"/>
      <c r="AD1" s="5">
        <v>54.3</v>
      </c>
    </row>
    <row r="2" spans="1:38" x14ac:dyDescent="0.25">
      <c r="A2" t="s">
        <v>107</v>
      </c>
      <c r="C2" s="2"/>
      <c r="F2" s="2"/>
      <c r="G2" s="2"/>
      <c r="H2" s="2"/>
      <c r="I2" s="7"/>
      <c r="L2" s="8"/>
      <c r="M2" s="3"/>
      <c r="N2" s="8"/>
      <c r="O2" s="9"/>
      <c r="P2" s="8"/>
      <c r="Q2" s="3"/>
      <c r="R2" s="8"/>
      <c r="S2" s="3"/>
    </row>
    <row r="3" spans="1:38" ht="18.75" x14ac:dyDescent="0.3">
      <c r="C3" s="5" t="s">
        <v>103</v>
      </c>
      <c r="D3" s="5"/>
      <c r="E3" s="5"/>
      <c r="F3" s="5"/>
      <c r="G3" s="5"/>
      <c r="H3" s="5"/>
      <c r="I3" s="5"/>
      <c r="J3" s="5"/>
      <c r="K3" s="5"/>
      <c r="L3" s="5">
        <v>54.1</v>
      </c>
      <c r="N3" s="5">
        <v>54.2</v>
      </c>
      <c r="O3" s="6"/>
      <c r="P3" s="5">
        <v>54.3</v>
      </c>
      <c r="Q3" s="10"/>
      <c r="R3" s="5">
        <v>54.4</v>
      </c>
      <c r="S3" s="10"/>
      <c r="T3" t="s">
        <v>0</v>
      </c>
      <c r="V3" t="s">
        <v>1</v>
      </c>
      <c r="X3" t="s">
        <v>2</v>
      </c>
      <c r="Z3" s="1" t="s">
        <v>0</v>
      </c>
      <c r="AA3" s="1" t="s">
        <v>1</v>
      </c>
      <c r="AB3" s="1" t="s">
        <v>2</v>
      </c>
      <c r="AC3" s="11"/>
      <c r="AD3" s="11"/>
    </row>
    <row r="4" spans="1:38" ht="15.75" x14ac:dyDescent="0.25">
      <c r="A4" t="s">
        <v>3</v>
      </c>
      <c r="B4" t="s">
        <v>4</v>
      </c>
      <c r="C4" s="12" t="s">
        <v>5</v>
      </c>
      <c r="D4" s="12"/>
      <c r="E4" s="12"/>
      <c r="F4" s="12"/>
      <c r="G4" s="12"/>
      <c r="H4" s="12"/>
      <c r="I4" s="13"/>
      <c r="J4" s="13"/>
      <c r="K4" s="13"/>
      <c r="L4" s="14" t="s">
        <v>6</v>
      </c>
      <c r="M4" s="14"/>
      <c r="N4" s="15" t="s">
        <v>6</v>
      </c>
      <c r="O4" s="15"/>
      <c r="P4" s="14" t="s">
        <v>6</v>
      </c>
      <c r="Q4" s="14"/>
      <c r="R4" s="14" t="s">
        <v>6</v>
      </c>
      <c r="S4" s="14"/>
      <c r="T4" s="16" t="s">
        <v>7</v>
      </c>
      <c r="U4" s="17"/>
      <c r="V4" s="18"/>
      <c r="W4" s="18"/>
      <c r="X4" s="18"/>
      <c r="Y4" s="18"/>
      <c r="Z4" t="s">
        <v>8</v>
      </c>
      <c r="AA4" t="s">
        <v>9</v>
      </c>
      <c r="AB4" t="s">
        <v>10</v>
      </c>
      <c r="AC4" s="11" t="s">
        <v>11</v>
      </c>
      <c r="AD4" s="11" t="s">
        <v>12</v>
      </c>
      <c r="AE4" s="11" t="s">
        <v>11</v>
      </c>
    </row>
    <row r="5" spans="1:38" x14ac:dyDescent="0.25">
      <c r="A5">
        <v>0</v>
      </c>
      <c r="C5" s="19" t="s">
        <v>13</v>
      </c>
      <c r="D5" t="s">
        <v>14</v>
      </c>
      <c r="K5" t="s">
        <v>14</v>
      </c>
    </row>
    <row r="6" spans="1:38" x14ac:dyDescent="0.25">
      <c r="A6">
        <f>24-3.5</f>
        <v>20.5</v>
      </c>
      <c r="B6">
        <f>A6-20.5</f>
        <v>0</v>
      </c>
      <c r="C6">
        <v>27.06</v>
      </c>
      <c r="D6" t="s">
        <v>15</v>
      </c>
      <c r="K6" t="s">
        <v>15</v>
      </c>
      <c r="L6">
        <v>5.65</v>
      </c>
      <c r="M6">
        <v>5.74</v>
      </c>
      <c r="N6">
        <v>5.65</v>
      </c>
      <c r="O6">
        <v>5.74</v>
      </c>
      <c r="P6">
        <f>L6*2</f>
        <v>11.3</v>
      </c>
      <c r="Q6">
        <f>M6*2</f>
        <v>11.48</v>
      </c>
      <c r="R6">
        <f>N6*2</f>
        <v>11.3</v>
      </c>
      <c r="S6">
        <f>O6*2</f>
        <v>11.48</v>
      </c>
      <c r="T6" s="28">
        <f>(L6-0.1087)/0.1228</f>
        <v>45.124592833876221</v>
      </c>
      <c r="U6" s="28">
        <f t="shared" ref="U6:AA6" si="0">(M6-0.1087)/0.1228</f>
        <v>45.857491856677527</v>
      </c>
      <c r="V6" s="28">
        <f t="shared" si="0"/>
        <v>45.124592833876221</v>
      </c>
      <c r="W6" s="28">
        <f t="shared" si="0"/>
        <v>45.857491856677527</v>
      </c>
      <c r="X6" s="26">
        <f t="shared" si="0"/>
        <v>91.134364820846898</v>
      </c>
      <c r="Y6" s="26">
        <f t="shared" si="0"/>
        <v>92.600162866449509</v>
      </c>
      <c r="Z6" s="26">
        <f t="shared" si="0"/>
        <v>91.134364820846898</v>
      </c>
      <c r="AA6" s="26">
        <f t="shared" si="0"/>
        <v>92.600162866449509</v>
      </c>
      <c r="AB6" s="26"/>
      <c r="AC6" s="27">
        <f>AVERAGE(T6:W6)</f>
        <v>45.491042345276881</v>
      </c>
      <c r="AD6" s="27">
        <f>STDEV(T6:W6)</f>
        <v>0.42313944810314735</v>
      </c>
      <c r="AE6" s="28">
        <f>AVERAGE(X6:AA6)</f>
        <v>91.867263843648203</v>
      </c>
      <c r="AF6" s="28">
        <f>STDEV(X6:AA6)</f>
        <v>0.84627889620629482</v>
      </c>
    </row>
    <row r="7" spans="1:38" x14ac:dyDescent="0.25">
      <c r="A7">
        <f>47.5</f>
        <v>47.5</v>
      </c>
      <c r="B7">
        <f t="shared" ref="B7:B20" si="1">A7-20.5</f>
        <v>27</v>
      </c>
      <c r="C7">
        <v>28.06</v>
      </c>
      <c r="D7" t="s">
        <v>16</v>
      </c>
      <c r="K7" t="s">
        <v>16</v>
      </c>
      <c r="L7">
        <v>4.3</v>
      </c>
      <c r="M7">
        <v>4.51</v>
      </c>
      <c r="N7">
        <v>4.45</v>
      </c>
      <c r="O7">
        <v>4.47</v>
      </c>
      <c r="P7">
        <v>9.4600000000000009</v>
      </c>
      <c r="Q7">
        <v>9.0500000000000007</v>
      </c>
      <c r="R7">
        <v>9.75</v>
      </c>
      <c r="S7">
        <v>9.61</v>
      </c>
      <c r="T7" s="28">
        <f t="shared" ref="T7:T20" si="2">(L7-0.1087)/0.1228</f>
        <v>34.131107491856675</v>
      </c>
      <c r="U7" s="28">
        <f t="shared" ref="U7:U18" si="3">(M7-0.1087)/0.1228</f>
        <v>35.841205211726383</v>
      </c>
      <c r="V7" s="28">
        <f t="shared" ref="V7:V20" si="4">(N7-0.1087)/0.1228</f>
        <v>35.352605863192181</v>
      </c>
      <c r="W7" s="28">
        <f t="shared" ref="W7:W18" si="5">(O7-0.1087)/0.1228</f>
        <v>35.515472312703579</v>
      </c>
      <c r="X7" s="26">
        <f t="shared" ref="X7:X20" si="6">(P7-0.1087)/0.1228</f>
        <v>76.150651465798049</v>
      </c>
      <c r="Y7" s="26">
        <f t="shared" ref="Y7:Y20" si="7">(Q7-0.1087)/0.1228</f>
        <v>72.811889250814332</v>
      </c>
      <c r="Z7" s="26">
        <f t="shared" ref="Z7:Z20" si="8">(R7-0.1087)/0.1228</f>
        <v>78.512214983713349</v>
      </c>
      <c r="AA7" s="26">
        <f t="shared" ref="AA7:AA18" si="9">(S7-0.1087)/0.1228</f>
        <v>77.372149837133534</v>
      </c>
      <c r="AC7" s="27">
        <f t="shared" ref="AC7:AC20" si="10">AVERAGE(T7:W7)</f>
        <v>35.210097719869708</v>
      </c>
      <c r="AD7" s="27">
        <f t="shared" ref="AD7:AD20" si="11">STDEV(T7:W7)</f>
        <v>0.74745764457189856</v>
      </c>
      <c r="AE7" s="28">
        <f t="shared" ref="AE7:AE20" si="12">AVERAGE(X7:AA7)</f>
        <v>76.211726384364809</v>
      </c>
      <c r="AF7" s="28">
        <f t="shared" ref="AF7:AF20" si="13">STDEV(X7:AA7)</f>
        <v>2.4631587488301112</v>
      </c>
    </row>
    <row r="8" spans="1:38" x14ac:dyDescent="0.25">
      <c r="A8">
        <f>24*3-2.5</f>
        <v>69.5</v>
      </c>
      <c r="B8">
        <f t="shared" si="1"/>
        <v>49</v>
      </c>
      <c r="C8">
        <v>29.06</v>
      </c>
      <c r="D8" t="s">
        <v>17</v>
      </c>
      <c r="K8" t="s">
        <v>17</v>
      </c>
      <c r="L8">
        <v>5.24</v>
      </c>
      <c r="M8">
        <v>5.09</v>
      </c>
      <c r="N8">
        <v>5.19</v>
      </c>
      <c r="O8">
        <v>4.9400000000000004</v>
      </c>
      <c r="P8">
        <v>9.82</v>
      </c>
      <c r="Q8">
        <v>9.81</v>
      </c>
      <c r="R8">
        <v>9.64</v>
      </c>
      <c r="S8">
        <v>9.92</v>
      </c>
      <c r="T8" s="28">
        <f t="shared" si="2"/>
        <v>41.785830618892511</v>
      </c>
      <c r="U8" s="28">
        <f t="shared" si="3"/>
        <v>40.564332247557005</v>
      </c>
      <c r="V8" s="28">
        <f t="shared" si="4"/>
        <v>41.378664495114009</v>
      </c>
      <c r="W8" s="28">
        <f t="shared" si="5"/>
        <v>39.342833876221498</v>
      </c>
      <c r="X8" s="26">
        <f t="shared" si="6"/>
        <v>79.082247557003257</v>
      </c>
      <c r="Y8" s="26">
        <f t="shared" si="7"/>
        <v>79.000814332247558</v>
      </c>
      <c r="Z8" s="26">
        <f t="shared" si="8"/>
        <v>77.616449511400646</v>
      </c>
      <c r="AA8" s="26">
        <f t="shared" si="9"/>
        <v>79.896579804560247</v>
      </c>
      <c r="AC8" s="27">
        <f t="shared" si="10"/>
        <v>40.767915309446259</v>
      </c>
      <c r="AD8" s="27">
        <f t="shared" si="11"/>
        <v>1.0772603058080596</v>
      </c>
      <c r="AE8" s="28">
        <f t="shared" si="12"/>
        <v>78.89902280130292</v>
      </c>
      <c r="AF8" s="28">
        <f t="shared" si="13"/>
        <v>0.94587649750411973</v>
      </c>
      <c r="AG8">
        <f>(T6-T8)/49</f>
        <v>6.8138004387422652E-2</v>
      </c>
      <c r="AH8">
        <f>(U6-U8)/49</f>
        <v>0.10802366549225556</v>
      </c>
      <c r="AI8">
        <f>(V6-V8)/49</f>
        <v>7.6447517117596162E-2</v>
      </c>
      <c r="AJ8">
        <f>(W6-W8)/49</f>
        <v>0.1329522036827761</v>
      </c>
      <c r="AK8" s="1">
        <f>AVERAGE(AG8:AJ8)</f>
        <v>9.6390347670012616E-2</v>
      </c>
      <c r="AL8" s="1">
        <f>STDEV(AG8:AJ8)</f>
        <v>2.9821774986582481E-2</v>
      </c>
    </row>
    <row r="9" spans="1:38" x14ac:dyDescent="0.25">
      <c r="A9">
        <f>24*4-3</f>
        <v>93</v>
      </c>
      <c r="B9">
        <f t="shared" si="1"/>
        <v>72.5</v>
      </c>
      <c r="C9">
        <v>30.06</v>
      </c>
      <c r="D9" t="s">
        <v>18</v>
      </c>
      <c r="K9" t="s">
        <v>18</v>
      </c>
      <c r="L9">
        <v>5.14</v>
      </c>
      <c r="M9">
        <v>5.12</v>
      </c>
      <c r="N9">
        <v>5.18</v>
      </c>
      <c r="O9">
        <v>5.14</v>
      </c>
      <c r="P9">
        <v>10.1</v>
      </c>
      <c r="Q9">
        <v>9.9499999999999993</v>
      </c>
      <c r="R9">
        <v>10.17</v>
      </c>
      <c r="S9">
        <v>10.26</v>
      </c>
      <c r="T9" s="28">
        <f t="shared" si="2"/>
        <v>40.9714983713355</v>
      </c>
      <c r="U9" s="28">
        <f t="shared" si="3"/>
        <v>40.808631921824102</v>
      </c>
      <c r="V9" s="28">
        <f t="shared" si="4"/>
        <v>41.297231270358303</v>
      </c>
      <c r="W9" s="28">
        <f t="shared" si="5"/>
        <v>40.9714983713355</v>
      </c>
      <c r="X9" s="26">
        <f t="shared" si="6"/>
        <v>81.362377850162858</v>
      </c>
      <c r="Y9" s="26">
        <f t="shared" si="7"/>
        <v>80.140879478827344</v>
      </c>
      <c r="Z9" s="26">
        <f t="shared" si="8"/>
        <v>81.932410423452765</v>
      </c>
      <c r="AA9" s="26">
        <f t="shared" si="9"/>
        <v>82.665309446254057</v>
      </c>
      <c r="AC9" s="27">
        <f t="shared" si="10"/>
        <v>41.012214983713349</v>
      </c>
      <c r="AD9" s="27">
        <f t="shared" si="11"/>
        <v>0.20493578814524299</v>
      </c>
      <c r="AE9" s="28">
        <f t="shared" si="12"/>
        <v>81.525244299674256</v>
      </c>
      <c r="AF9" s="28">
        <f t="shared" si="13"/>
        <v>1.065914979156998</v>
      </c>
      <c r="AK9" s="1"/>
      <c r="AL9" s="1"/>
    </row>
    <row r="10" spans="1:38" hidden="1" x14ac:dyDescent="0.25">
      <c r="B10">
        <f t="shared" si="1"/>
        <v>-20.5</v>
      </c>
      <c r="C10">
        <v>30.06</v>
      </c>
      <c r="D10" t="s">
        <v>18</v>
      </c>
      <c r="K10" t="s">
        <v>17</v>
      </c>
      <c r="T10" s="28">
        <f t="shared" si="2"/>
        <v>-0.88517915309446249</v>
      </c>
      <c r="U10" s="28">
        <f t="shared" si="3"/>
        <v>-0.88517915309446249</v>
      </c>
      <c r="V10" s="28">
        <f t="shared" si="4"/>
        <v>-0.88517915309446249</v>
      </c>
      <c r="W10" s="28">
        <f t="shared" si="5"/>
        <v>-0.88517915309446249</v>
      </c>
      <c r="X10" s="26">
        <f t="shared" si="6"/>
        <v>-0.88517915309446249</v>
      </c>
      <c r="Y10" s="26">
        <f t="shared" si="7"/>
        <v>-0.88517915309446249</v>
      </c>
      <c r="Z10" s="26">
        <f t="shared" si="8"/>
        <v>-0.88517915309446249</v>
      </c>
      <c r="AA10" s="26">
        <f t="shared" si="9"/>
        <v>-0.88517915309446249</v>
      </c>
      <c r="AC10" s="27">
        <f t="shared" si="10"/>
        <v>-0.88517915309446249</v>
      </c>
      <c r="AD10" s="27">
        <f t="shared" si="11"/>
        <v>0</v>
      </c>
      <c r="AE10" s="28">
        <f t="shared" si="12"/>
        <v>-0.88517915309446249</v>
      </c>
      <c r="AF10" s="28">
        <f t="shared" si="13"/>
        <v>0</v>
      </c>
      <c r="AK10" s="1"/>
      <c r="AL10" s="1"/>
    </row>
    <row r="11" spans="1:38" hidden="1" x14ac:dyDescent="0.25">
      <c r="B11">
        <f t="shared" si="1"/>
        <v>-20.5</v>
      </c>
      <c r="C11" t="s">
        <v>20</v>
      </c>
      <c r="D11" t="s">
        <v>21</v>
      </c>
      <c r="K11" t="s">
        <v>21</v>
      </c>
      <c r="T11" s="28">
        <f t="shared" si="2"/>
        <v>-0.88517915309446249</v>
      </c>
      <c r="U11" s="28">
        <f t="shared" si="3"/>
        <v>-0.88517915309446249</v>
      </c>
      <c r="V11" s="28">
        <f t="shared" si="4"/>
        <v>-0.88517915309446249</v>
      </c>
      <c r="W11" s="28">
        <f t="shared" si="5"/>
        <v>-0.88517915309446249</v>
      </c>
      <c r="X11" s="26">
        <f t="shared" si="6"/>
        <v>-0.88517915309446249</v>
      </c>
      <c r="Y11" s="26">
        <f t="shared" si="7"/>
        <v>-0.88517915309446249</v>
      </c>
      <c r="Z11" s="26">
        <f t="shared" si="8"/>
        <v>-0.88517915309446249</v>
      </c>
      <c r="AA11" s="26">
        <f t="shared" si="9"/>
        <v>-0.88517915309446249</v>
      </c>
      <c r="AC11" s="27">
        <f t="shared" si="10"/>
        <v>-0.88517915309446249</v>
      </c>
      <c r="AD11" s="27">
        <f t="shared" si="11"/>
        <v>0</v>
      </c>
      <c r="AE11" s="28">
        <f t="shared" si="12"/>
        <v>-0.88517915309446249</v>
      </c>
      <c r="AF11" s="28">
        <f t="shared" si="13"/>
        <v>0</v>
      </c>
      <c r="AK11" s="1"/>
      <c r="AL11" s="1"/>
    </row>
    <row r="12" spans="1:38" hidden="1" x14ac:dyDescent="0.25">
      <c r="B12">
        <f t="shared" si="1"/>
        <v>-20.5</v>
      </c>
      <c r="C12" t="s">
        <v>20</v>
      </c>
      <c r="D12" t="s">
        <v>24</v>
      </c>
      <c r="K12" t="s">
        <v>24</v>
      </c>
      <c r="T12" s="28">
        <f t="shared" si="2"/>
        <v>-0.88517915309446249</v>
      </c>
      <c r="U12" s="28">
        <f t="shared" si="3"/>
        <v>-0.88517915309446249</v>
      </c>
      <c r="V12" s="28">
        <f t="shared" si="4"/>
        <v>-0.88517915309446249</v>
      </c>
      <c r="W12" s="28">
        <f t="shared" si="5"/>
        <v>-0.88517915309446249</v>
      </c>
      <c r="X12" s="26">
        <f t="shared" si="6"/>
        <v>-0.88517915309446249</v>
      </c>
      <c r="Y12" s="26">
        <f t="shared" si="7"/>
        <v>-0.88517915309446249</v>
      </c>
      <c r="Z12" s="26">
        <f t="shared" si="8"/>
        <v>-0.88517915309446249</v>
      </c>
      <c r="AA12" s="26">
        <f t="shared" si="9"/>
        <v>-0.88517915309446249</v>
      </c>
      <c r="AC12" s="27">
        <f t="shared" si="10"/>
        <v>-0.88517915309446249</v>
      </c>
      <c r="AD12" s="27">
        <f t="shared" si="11"/>
        <v>0</v>
      </c>
      <c r="AE12" s="28">
        <f t="shared" si="12"/>
        <v>-0.88517915309446249</v>
      </c>
      <c r="AF12" s="28">
        <f t="shared" si="13"/>
        <v>0</v>
      </c>
      <c r="AK12" s="1"/>
      <c r="AL12" s="1"/>
    </row>
    <row r="13" spans="1:38" x14ac:dyDescent="0.25">
      <c r="A13">
        <f>5*24-6</f>
        <v>114</v>
      </c>
      <c r="B13">
        <f t="shared" si="1"/>
        <v>93.5</v>
      </c>
      <c r="C13" t="s">
        <v>20</v>
      </c>
      <c r="D13" t="s">
        <v>24</v>
      </c>
      <c r="K13" t="s">
        <v>24</v>
      </c>
      <c r="L13">
        <v>4.37</v>
      </c>
      <c r="N13">
        <v>4.9400000000000004</v>
      </c>
      <c r="O13">
        <v>4.96</v>
      </c>
      <c r="P13">
        <v>9.92</v>
      </c>
      <c r="R13">
        <v>10.01</v>
      </c>
      <c r="T13" s="28">
        <f t="shared" si="2"/>
        <v>34.701140065146582</v>
      </c>
      <c r="U13" s="28"/>
      <c r="V13" s="28">
        <f t="shared" si="4"/>
        <v>39.342833876221498</v>
      </c>
      <c r="W13" s="28">
        <f t="shared" si="5"/>
        <v>39.505700325732896</v>
      </c>
      <c r="X13" s="26">
        <f t="shared" si="6"/>
        <v>79.896579804560247</v>
      </c>
      <c r="Y13" s="26"/>
      <c r="Z13" s="26">
        <f t="shared" si="8"/>
        <v>80.629478827361552</v>
      </c>
      <c r="AA13" s="26"/>
      <c r="AC13" s="27">
        <f t="shared" si="10"/>
        <v>37.849891422366994</v>
      </c>
      <c r="AD13" s="27">
        <f t="shared" si="11"/>
        <v>2.7281143125411993</v>
      </c>
      <c r="AE13" s="28">
        <f t="shared" si="12"/>
        <v>80.263029315960893</v>
      </c>
      <c r="AF13" s="28">
        <f t="shared" si="13"/>
        <v>0.51823786894779722</v>
      </c>
      <c r="AK13" s="1"/>
      <c r="AL13" s="1"/>
    </row>
    <row r="14" spans="1:38" x14ac:dyDescent="0.25">
      <c r="A14">
        <f>A13+7</f>
        <v>121</v>
      </c>
      <c r="B14">
        <f t="shared" si="1"/>
        <v>100.5</v>
      </c>
      <c r="C14">
        <v>3.07</v>
      </c>
      <c r="D14" t="s">
        <v>25</v>
      </c>
      <c r="K14" t="s">
        <v>25</v>
      </c>
      <c r="L14">
        <v>3.75</v>
      </c>
      <c r="N14">
        <v>4.05</v>
      </c>
      <c r="O14">
        <v>4.17</v>
      </c>
      <c r="P14">
        <v>9.3699999999999992</v>
      </c>
      <c r="R14">
        <v>9.68</v>
      </c>
      <c r="T14" s="28">
        <f t="shared" si="2"/>
        <v>29.65228013029316</v>
      </c>
      <c r="U14" s="28"/>
      <c r="V14" s="28">
        <f t="shared" si="4"/>
        <v>32.09527687296417</v>
      </c>
      <c r="W14" s="28">
        <f t="shared" si="5"/>
        <v>33.072475570032573</v>
      </c>
      <c r="X14" s="26">
        <f t="shared" si="6"/>
        <v>75.417752442996729</v>
      </c>
      <c r="Y14" s="26"/>
      <c r="Z14" s="26">
        <f t="shared" si="8"/>
        <v>77.942182410423442</v>
      </c>
      <c r="AA14" s="26"/>
      <c r="AC14" s="27">
        <f t="shared" si="10"/>
        <v>31.606677524429966</v>
      </c>
      <c r="AD14" s="27">
        <f t="shared" si="11"/>
        <v>1.7616700042983657</v>
      </c>
      <c r="AE14" s="28">
        <f t="shared" si="12"/>
        <v>76.679967426710078</v>
      </c>
      <c r="AF14" s="28">
        <f t="shared" si="13"/>
        <v>1.7850415485979636</v>
      </c>
      <c r="AK14" s="1"/>
      <c r="AL14" s="1"/>
    </row>
    <row r="15" spans="1:38" x14ac:dyDescent="0.25">
      <c r="A15">
        <f>A13+48+4</f>
        <v>166</v>
      </c>
      <c r="B15">
        <f t="shared" si="1"/>
        <v>145.5</v>
      </c>
      <c r="C15">
        <v>4.07</v>
      </c>
      <c r="D15" t="s">
        <v>26</v>
      </c>
      <c r="K15" t="s">
        <v>26</v>
      </c>
      <c r="L15">
        <v>3.34</v>
      </c>
      <c r="N15">
        <v>3.76</v>
      </c>
      <c r="P15">
        <v>9.3699999999999992</v>
      </c>
      <c r="R15">
        <v>9.4700000000000006</v>
      </c>
      <c r="T15" s="28">
        <f t="shared" si="2"/>
        <v>26.313517915309447</v>
      </c>
      <c r="U15" s="28"/>
      <c r="V15" s="28">
        <f t="shared" si="4"/>
        <v>29.733713355048859</v>
      </c>
      <c r="W15" s="28"/>
      <c r="X15" s="26">
        <f t="shared" si="6"/>
        <v>75.417752442996729</v>
      </c>
      <c r="Y15" s="26"/>
      <c r="Z15" s="26">
        <f t="shared" si="8"/>
        <v>76.232084690553748</v>
      </c>
      <c r="AA15" s="26"/>
      <c r="AC15" s="27">
        <f t="shared" si="10"/>
        <v>28.023615635179155</v>
      </c>
      <c r="AD15" s="27">
        <f t="shared" si="11"/>
        <v>2.4184433884230443</v>
      </c>
      <c r="AE15" s="28">
        <f t="shared" si="12"/>
        <v>75.824918566775239</v>
      </c>
      <c r="AF15" s="28">
        <f t="shared" si="13"/>
        <v>0.57581985438645034</v>
      </c>
      <c r="AK15" s="1"/>
      <c r="AL15" s="1"/>
    </row>
    <row r="16" spans="1:38" hidden="1" x14ac:dyDescent="0.25">
      <c r="B16">
        <f t="shared" si="1"/>
        <v>-20.5</v>
      </c>
      <c r="C16">
        <v>4.07</v>
      </c>
      <c r="D16" t="s">
        <v>27</v>
      </c>
      <c r="K16" t="s">
        <v>27</v>
      </c>
      <c r="T16" s="28">
        <f t="shared" si="2"/>
        <v>-0.88517915309446249</v>
      </c>
      <c r="U16" s="28">
        <f t="shared" si="3"/>
        <v>-0.88517915309446249</v>
      </c>
      <c r="V16" s="28">
        <f t="shared" si="4"/>
        <v>-0.88517915309446249</v>
      </c>
      <c r="W16" s="28">
        <f t="shared" si="5"/>
        <v>-0.88517915309446249</v>
      </c>
      <c r="X16" s="26">
        <f t="shared" si="6"/>
        <v>-0.88517915309446249</v>
      </c>
      <c r="Y16" s="26">
        <f t="shared" si="7"/>
        <v>-0.88517915309446249</v>
      </c>
      <c r="Z16" s="26">
        <f t="shared" si="8"/>
        <v>-0.88517915309446249</v>
      </c>
      <c r="AA16" s="26">
        <f t="shared" si="9"/>
        <v>-0.88517915309446249</v>
      </c>
      <c r="AC16" s="27">
        <f t="shared" si="10"/>
        <v>-0.88517915309446249</v>
      </c>
      <c r="AD16" s="27">
        <f t="shared" si="11"/>
        <v>0</v>
      </c>
      <c r="AE16" s="28">
        <f t="shared" si="12"/>
        <v>-0.88517915309446249</v>
      </c>
      <c r="AF16" s="28">
        <f t="shared" si="13"/>
        <v>0</v>
      </c>
      <c r="AK16" s="1"/>
      <c r="AL16" s="1"/>
    </row>
    <row r="17" spans="1:38" hidden="1" x14ac:dyDescent="0.25">
      <c r="B17">
        <f t="shared" si="1"/>
        <v>-20.5</v>
      </c>
      <c r="C17">
        <v>4.07</v>
      </c>
      <c r="D17" t="s">
        <v>28</v>
      </c>
      <c r="K17" t="s">
        <v>28</v>
      </c>
      <c r="T17" s="28">
        <f t="shared" si="2"/>
        <v>-0.88517915309446249</v>
      </c>
      <c r="U17" s="28">
        <f t="shared" si="3"/>
        <v>-0.88517915309446249</v>
      </c>
      <c r="V17" s="28">
        <f t="shared" si="4"/>
        <v>-0.88517915309446249</v>
      </c>
      <c r="W17" s="28">
        <f t="shared" si="5"/>
        <v>-0.88517915309446249</v>
      </c>
      <c r="X17" s="26">
        <f t="shared" si="6"/>
        <v>-0.88517915309446249</v>
      </c>
      <c r="Y17" s="26">
        <f t="shared" si="7"/>
        <v>-0.88517915309446249</v>
      </c>
      <c r="Z17" s="26">
        <f t="shared" si="8"/>
        <v>-0.88517915309446249</v>
      </c>
      <c r="AA17" s="26">
        <f t="shared" si="9"/>
        <v>-0.88517915309446249</v>
      </c>
      <c r="AC17" s="27">
        <f t="shared" si="10"/>
        <v>-0.88517915309446249</v>
      </c>
      <c r="AD17" s="27">
        <f t="shared" si="11"/>
        <v>0</v>
      </c>
      <c r="AE17" s="28">
        <f t="shared" si="12"/>
        <v>-0.88517915309446249</v>
      </c>
      <c r="AF17" s="28">
        <f t="shared" si="13"/>
        <v>0</v>
      </c>
      <c r="AK17" s="1"/>
      <c r="AL17" s="1"/>
    </row>
    <row r="18" spans="1:38" x14ac:dyDescent="0.25">
      <c r="A18">
        <f>A15+24</f>
        <v>190</v>
      </c>
      <c r="B18">
        <f t="shared" si="1"/>
        <v>169.5</v>
      </c>
      <c r="C18">
        <v>5.07</v>
      </c>
      <c r="D18" t="s">
        <v>18</v>
      </c>
      <c r="K18" t="s">
        <v>18</v>
      </c>
      <c r="L18">
        <v>2.98</v>
      </c>
      <c r="M18">
        <v>2.92</v>
      </c>
      <c r="N18">
        <v>3.32</v>
      </c>
      <c r="O18">
        <v>3.45</v>
      </c>
      <c r="P18">
        <v>9.06</v>
      </c>
      <c r="Q18">
        <v>9.5500000000000007</v>
      </c>
      <c r="R18">
        <v>9.1199999999999992</v>
      </c>
      <c r="S18">
        <v>8.84</v>
      </c>
      <c r="T18" s="28">
        <f t="shared" si="2"/>
        <v>23.381921824104236</v>
      </c>
      <c r="U18" s="28">
        <f t="shared" si="3"/>
        <v>22.893322475570031</v>
      </c>
      <c r="V18" s="28">
        <f t="shared" si="4"/>
        <v>26.150651465798045</v>
      </c>
      <c r="W18" s="28">
        <f t="shared" si="5"/>
        <v>27.20928338762215</v>
      </c>
      <c r="X18" s="26">
        <f t="shared" si="6"/>
        <v>72.893322475570031</v>
      </c>
      <c r="Y18" s="26">
        <f t="shared" si="7"/>
        <v>76.88355048859934</v>
      </c>
      <c r="Z18" s="26">
        <f t="shared" si="8"/>
        <v>73.381921824104225</v>
      </c>
      <c r="AA18" s="26">
        <f t="shared" si="9"/>
        <v>71.10179153094461</v>
      </c>
      <c r="AC18" s="27">
        <f t="shared" si="10"/>
        <v>24.908794788273617</v>
      </c>
      <c r="AD18" s="27">
        <f t="shared" si="11"/>
        <v>2.0998353503096956</v>
      </c>
      <c r="AE18" s="28">
        <f t="shared" si="12"/>
        <v>73.565146579804548</v>
      </c>
      <c r="AF18" s="28">
        <f t="shared" si="13"/>
        <v>2.4196998117383806</v>
      </c>
      <c r="AK18" s="1"/>
      <c r="AL18" s="1"/>
    </row>
    <row r="19" spans="1:38" x14ac:dyDescent="0.25">
      <c r="A19">
        <f>A18+27</f>
        <v>217</v>
      </c>
      <c r="B19">
        <f t="shared" si="1"/>
        <v>196.5</v>
      </c>
      <c r="C19">
        <v>6.07</v>
      </c>
      <c r="D19" t="s">
        <v>14</v>
      </c>
      <c r="K19" t="s">
        <v>14</v>
      </c>
      <c r="L19">
        <v>2.78</v>
      </c>
      <c r="N19">
        <v>3.16</v>
      </c>
      <c r="P19">
        <v>9.0299999999999994</v>
      </c>
      <c r="R19">
        <v>8.92</v>
      </c>
      <c r="T19" s="28">
        <f t="shared" si="2"/>
        <v>21.753257328990227</v>
      </c>
      <c r="U19" s="28"/>
      <c r="V19" s="28">
        <f t="shared" si="4"/>
        <v>24.847719869706843</v>
      </c>
      <c r="W19" s="28"/>
      <c r="X19" s="26">
        <f t="shared" si="6"/>
        <v>72.64902280130292</v>
      </c>
      <c r="Y19" s="26"/>
      <c r="Z19" s="26">
        <f t="shared" si="8"/>
        <v>71.753257328990216</v>
      </c>
      <c r="AA19" s="26"/>
      <c r="AC19" s="27">
        <f t="shared" si="10"/>
        <v>23.300488599348533</v>
      </c>
      <c r="AD19" s="27">
        <f t="shared" si="11"/>
        <v>2.1881154466684722</v>
      </c>
      <c r="AE19" s="28">
        <f t="shared" si="12"/>
        <v>72.201140065146575</v>
      </c>
      <c r="AF19" s="28">
        <f t="shared" si="13"/>
        <v>0.63340183982508325</v>
      </c>
      <c r="AK19" s="1"/>
      <c r="AL19" s="1"/>
    </row>
    <row r="20" spans="1:38" x14ac:dyDescent="0.25">
      <c r="A20">
        <f>A19+22</f>
        <v>239</v>
      </c>
      <c r="B20">
        <f t="shared" si="1"/>
        <v>218.5</v>
      </c>
      <c r="C20">
        <v>7.07</v>
      </c>
      <c r="D20" t="s">
        <v>29</v>
      </c>
      <c r="K20" t="s">
        <v>29</v>
      </c>
      <c r="L20">
        <v>2.33</v>
      </c>
      <c r="N20">
        <v>2.4300000000000002</v>
      </c>
      <c r="P20">
        <v>8.6300000000000008</v>
      </c>
      <c r="Q20">
        <v>8.61</v>
      </c>
      <c r="R20">
        <v>9.07</v>
      </c>
      <c r="T20" s="28">
        <f t="shared" si="2"/>
        <v>18.088762214983714</v>
      </c>
      <c r="U20" s="28"/>
      <c r="V20" s="28">
        <f t="shared" si="4"/>
        <v>18.903094462540718</v>
      </c>
      <c r="W20" s="28"/>
      <c r="X20" s="26">
        <f t="shared" si="6"/>
        <v>69.391693811074916</v>
      </c>
      <c r="Y20" s="26">
        <f t="shared" si="7"/>
        <v>69.228827361563503</v>
      </c>
      <c r="Z20" s="26">
        <f t="shared" si="8"/>
        <v>72.97475570032573</v>
      </c>
      <c r="AA20" s="26"/>
      <c r="AC20" s="27">
        <f t="shared" si="10"/>
        <v>18.495928338762216</v>
      </c>
      <c r="AD20" s="27">
        <f t="shared" si="11"/>
        <v>0.57581985438644023</v>
      </c>
      <c r="AE20" s="28">
        <f t="shared" si="12"/>
        <v>70.531758957654702</v>
      </c>
      <c r="AF20" s="28">
        <f t="shared" si="13"/>
        <v>2.1172638436482121</v>
      </c>
      <c r="AG20">
        <f>(T6-T20)/218.5</f>
        <v>0.12373377857616709</v>
      </c>
      <c r="AH20">
        <f>(U6-U20)/218.5</f>
        <v>0.20987410460721981</v>
      </c>
      <c r="AI20">
        <f>(V6-V20)/218.5</f>
        <v>0.12000685753471627</v>
      </c>
      <c r="AJ20">
        <f>(W6-W20)/218.5</f>
        <v>0.20987410460721981</v>
      </c>
      <c r="AK20" s="1">
        <f>AVERAGE(AG20:AJ20)</f>
        <v>0.16587221133133073</v>
      </c>
      <c r="AL20" s="1">
        <f>STDEV(AG20:AJ20)</f>
        <v>5.0831786045333019E-2</v>
      </c>
    </row>
    <row r="21" spans="1:38" x14ac:dyDescent="0.25">
      <c r="T21" s="29"/>
      <c r="U21" s="29"/>
      <c r="V21" s="29"/>
      <c r="W21" s="29"/>
    </row>
    <row r="22" spans="1:38" x14ac:dyDescent="0.25">
      <c r="T22" s="29"/>
      <c r="U22" s="29"/>
      <c r="V22" s="29"/>
      <c r="W22" s="29"/>
    </row>
    <row r="23" spans="1:38" x14ac:dyDescent="0.25">
      <c r="T23" s="29"/>
      <c r="U23" s="29"/>
      <c r="V23" s="29"/>
      <c r="W23" s="29"/>
    </row>
    <row r="24" spans="1:38" x14ac:dyDescent="0.25">
      <c r="D24" s="20"/>
      <c r="K24" s="20"/>
      <c r="T24" s="29"/>
      <c r="U24" s="29"/>
      <c r="V24" s="29"/>
      <c r="W24" s="29"/>
    </row>
    <row r="25" spans="1:38" x14ac:dyDescent="0.25">
      <c r="D25" s="20"/>
      <c r="K25" s="20"/>
      <c r="T25" s="29"/>
      <c r="U25" s="29"/>
      <c r="V25" s="29"/>
      <c r="W25" s="29"/>
    </row>
    <row r="29" spans="1:38" x14ac:dyDescent="0.25">
      <c r="C29" s="19"/>
      <c r="D29" s="20"/>
      <c r="K29" s="20"/>
    </row>
    <row r="30" spans="1:38" x14ac:dyDescent="0.25">
      <c r="K30" s="20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I30" sqref="I30"/>
    </sheetView>
  </sheetViews>
  <sheetFormatPr defaultRowHeight="15" x14ac:dyDescent="0.25"/>
  <sheetData>
    <row r="1" spans="1:4" x14ac:dyDescent="0.25">
      <c r="A1" t="s">
        <v>50</v>
      </c>
    </row>
    <row r="2" spans="1:4" x14ac:dyDescent="0.25">
      <c r="A2" t="s">
        <v>51</v>
      </c>
    </row>
    <row r="4" spans="1:4" x14ac:dyDescent="0.25">
      <c r="C4" s="22" t="s">
        <v>105</v>
      </c>
    </row>
    <row r="5" spans="1:4" x14ac:dyDescent="0.25">
      <c r="A5" s="19"/>
    </row>
    <row r="7" spans="1:4" x14ac:dyDescent="0.25">
      <c r="A7">
        <v>28.06</v>
      </c>
      <c r="B7" t="s">
        <v>16</v>
      </c>
      <c r="C7">
        <v>7.78</v>
      </c>
      <c r="D7">
        <v>7.96</v>
      </c>
    </row>
    <row r="8" spans="1:4" x14ac:dyDescent="0.25">
      <c r="A8">
        <v>29.06</v>
      </c>
      <c r="B8" t="s">
        <v>17</v>
      </c>
      <c r="C8">
        <v>7.95</v>
      </c>
      <c r="D8">
        <v>8.11</v>
      </c>
    </row>
    <row r="9" spans="1:4" x14ac:dyDescent="0.25">
      <c r="A9">
        <v>30.06</v>
      </c>
      <c r="B9" t="s">
        <v>18</v>
      </c>
      <c r="C9">
        <v>8.25</v>
      </c>
      <c r="D9">
        <v>7.84</v>
      </c>
    </row>
    <row r="11" spans="1:4" x14ac:dyDescent="0.25">
      <c r="A11" t="s">
        <v>20</v>
      </c>
      <c r="B11" t="s">
        <v>21</v>
      </c>
      <c r="C11">
        <v>8.36</v>
      </c>
      <c r="D11">
        <v>8.19</v>
      </c>
    </row>
    <row r="14" spans="1:4" x14ac:dyDescent="0.25">
      <c r="A14">
        <v>3.07</v>
      </c>
      <c r="B14" t="s">
        <v>25</v>
      </c>
      <c r="C14">
        <v>8.49</v>
      </c>
      <c r="D14">
        <v>8.49</v>
      </c>
    </row>
    <row r="15" spans="1:4" x14ac:dyDescent="0.25">
      <c r="A15">
        <v>4.07</v>
      </c>
      <c r="B15" t="s">
        <v>26</v>
      </c>
      <c r="C15">
        <v>8.42</v>
      </c>
      <c r="D15">
        <v>8.17</v>
      </c>
    </row>
    <row r="18" spans="1:9" x14ac:dyDescent="0.25">
      <c r="A18">
        <v>5.07</v>
      </c>
      <c r="B18" t="s">
        <v>18</v>
      </c>
      <c r="C18">
        <v>8</v>
      </c>
    </row>
    <row r="19" spans="1:9" x14ac:dyDescent="0.25">
      <c r="A19">
        <v>6.07</v>
      </c>
      <c r="B19" t="s">
        <v>14</v>
      </c>
      <c r="C19">
        <v>7.59</v>
      </c>
      <c r="D19">
        <v>8.5399999999999991</v>
      </c>
    </row>
    <row r="20" spans="1:9" x14ac:dyDescent="0.25">
      <c r="A20">
        <v>7.07</v>
      </c>
      <c r="B20" t="s">
        <v>29</v>
      </c>
      <c r="C20">
        <v>8.4</v>
      </c>
      <c r="D20">
        <v>8.25</v>
      </c>
    </row>
    <row r="23" spans="1:9" x14ac:dyDescent="0.25">
      <c r="A23">
        <v>8.07</v>
      </c>
      <c r="B23" t="s">
        <v>31</v>
      </c>
      <c r="C23">
        <v>7.96</v>
      </c>
      <c r="D23">
        <v>8.33</v>
      </c>
    </row>
    <row r="24" spans="1:9" x14ac:dyDescent="0.25">
      <c r="A24">
        <v>10.07</v>
      </c>
      <c r="B24" s="20" t="s">
        <v>32</v>
      </c>
      <c r="I24" s="20"/>
    </row>
    <row r="25" spans="1:9" x14ac:dyDescent="0.25">
      <c r="A25">
        <v>12.07</v>
      </c>
      <c r="B25" s="20" t="s">
        <v>33</v>
      </c>
      <c r="I25" s="20"/>
    </row>
    <row r="26" spans="1:9" x14ac:dyDescent="0.25">
      <c r="A26">
        <v>13.07</v>
      </c>
      <c r="B26">
        <v>1600</v>
      </c>
    </row>
    <row r="27" spans="1:9" x14ac:dyDescent="0.25">
      <c r="A27">
        <v>13.07</v>
      </c>
      <c r="B27">
        <v>1700</v>
      </c>
    </row>
    <row r="28" spans="1:9" x14ac:dyDescent="0.25">
      <c r="A28">
        <v>14.07</v>
      </c>
      <c r="B28" t="s">
        <v>35</v>
      </c>
    </row>
    <row r="29" spans="1:9" x14ac:dyDescent="0.25">
      <c r="A29" s="19">
        <v>42933</v>
      </c>
      <c r="B29" s="20" t="s">
        <v>36</v>
      </c>
      <c r="I29" s="20"/>
    </row>
    <row r="30" spans="1:9" x14ac:dyDescent="0.25">
      <c r="A30">
        <v>18.07</v>
      </c>
      <c r="I30" s="20"/>
    </row>
    <row r="31" spans="1:9" x14ac:dyDescent="0.25">
      <c r="A31">
        <v>21.07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="89" zoomScaleNormal="89" workbookViewId="0">
      <selection activeCell="I13" sqref="I13"/>
    </sheetView>
  </sheetViews>
  <sheetFormatPr defaultRowHeight="15" x14ac:dyDescent="0.25"/>
  <sheetData>
    <row r="1" spans="1:8" x14ac:dyDescent="0.25">
      <c r="A1" s="41" t="s">
        <v>63</v>
      </c>
      <c r="B1" s="41"/>
      <c r="C1" s="41"/>
      <c r="D1" s="41"/>
      <c r="E1" s="23"/>
    </row>
    <row r="2" spans="1:8" x14ac:dyDescent="0.25">
      <c r="A2" s="42" t="s">
        <v>56</v>
      </c>
      <c r="B2" s="42" t="s">
        <v>57</v>
      </c>
      <c r="C2" s="42" t="s">
        <v>58</v>
      </c>
      <c r="D2" s="42" t="s">
        <v>59</v>
      </c>
      <c r="E2" s="24" t="s">
        <v>60</v>
      </c>
      <c r="H2" t="s">
        <v>62</v>
      </c>
    </row>
    <row r="3" spans="1:8" x14ac:dyDescent="0.25">
      <c r="A3" s="24"/>
      <c r="B3" s="24"/>
      <c r="C3" s="24">
        <v>0.01</v>
      </c>
      <c r="D3" s="24"/>
      <c r="E3" s="24" t="s">
        <v>61</v>
      </c>
      <c r="H3">
        <f>(F3+0.3104)/0.142</f>
        <v>2.1859154929577467</v>
      </c>
    </row>
    <row r="4" spans="1:8" x14ac:dyDescent="0.25">
      <c r="A4" s="24">
        <v>5</v>
      </c>
      <c r="B4" s="24">
        <v>5.1999999999999998E-2</v>
      </c>
      <c r="C4" s="24">
        <v>3.7999999999999999E-2</v>
      </c>
      <c r="D4" s="24">
        <f t="shared" ref="D4:D9" si="0">AVERAGE(B4:C4)</f>
        <v>4.4999999999999998E-2</v>
      </c>
      <c r="E4" s="24">
        <f t="shared" ref="E4:E9" si="1" xml:space="preserve"> STDEV(B4,C4)</f>
        <v>9.899494936611665E-3</v>
      </c>
      <c r="F4">
        <f t="shared" ref="F4:F9" si="2">D4*10</f>
        <v>0.44999999999999996</v>
      </c>
      <c r="G4" s="24">
        <v>5</v>
      </c>
      <c r="H4">
        <f t="shared" ref="H4:H8" si="3">(F4+0.3104)/0.142</f>
        <v>5.3549295774647891</v>
      </c>
    </row>
    <row r="5" spans="1:8" x14ac:dyDescent="0.25">
      <c r="A5" s="24">
        <v>10</v>
      </c>
      <c r="B5" s="24">
        <v>0.109</v>
      </c>
      <c r="C5" s="24">
        <v>0.111</v>
      </c>
      <c r="D5" s="24">
        <f t="shared" si="0"/>
        <v>0.11</v>
      </c>
      <c r="E5" s="24">
        <f t="shared" si="1"/>
        <v>1.4142135623730963E-3</v>
      </c>
      <c r="F5">
        <f t="shared" si="2"/>
        <v>1.1000000000000001</v>
      </c>
      <c r="G5" s="24">
        <v>10</v>
      </c>
      <c r="H5">
        <f t="shared" si="3"/>
        <v>9.932394366197185</v>
      </c>
    </row>
    <row r="6" spans="1:8" x14ac:dyDescent="0.25">
      <c r="A6" s="24">
        <v>20</v>
      </c>
      <c r="B6" s="24">
        <v>0.253</v>
      </c>
      <c r="C6" s="24">
        <v>0.26400000000000001</v>
      </c>
      <c r="D6" s="24">
        <f t="shared" si="0"/>
        <v>0.25850000000000001</v>
      </c>
      <c r="E6" s="24">
        <f t="shared" si="1"/>
        <v>7.7781745930520299E-3</v>
      </c>
      <c r="F6">
        <f t="shared" si="2"/>
        <v>2.585</v>
      </c>
      <c r="G6" s="24">
        <v>20</v>
      </c>
      <c r="H6">
        <f t="shared" si="3"/>
        <v>20.390140845070423</v>
      </c>
    </row>
    <row r="7" spans="1:8" x14ac:dyDescent="0.25">
      <c r="A7" s="24">
        <v>30</v>
      </c>
      <c r="B7" s="24">
        <v>0.40100000000000002</v>
      </c>
      <c r="C7" s="24">
        <v>0.375</v>
      </c>
      <c r="D7" s="24">
        <f t="shared" si="0"/>
        <v>0.38800000000000001</v>
      </c>
      <c r="E7" s="24">
        <f t="shared" si="1"/>
        <v>1.8384776310850254E-2</v>
      </c>
      <c r="F7">
        <f t="shared" si="2"/>
        <v>3.88</v>
      </c>
      <c r="G7" s="24">
        <v>30</v>
      </c>
      <c r="H7">
        <f t="shared" si="3"/>
        <v>29.509859154929583</v>
      </c>
    </row>
    <row r="8" spans="1:8" x14ac:dyDescent="0.25">
      <c r="A8" s="24">
        <v>40</v>
      </c>
      <c r="B8" s="24">
        <v>0.52400000000000002</v>
      </c>
      <c r="C8" s="24">
        <v>0.50900000000000001</v>
      </c>
      <c r="D8" s="24">
        <f t="shared" si="0"/>
        <v>0.51649999999999996</v>
      </c>
      <c r="E8" s="24">
        <f t="shared" si="1"/>
        <v>1.0606601717798222E-2</v>
      </c>
      <c r="F8">
        <f t="shared" si="2"/>
        <v>5.1649999999999991</v>
      </c>
      <c r="G8" s="24">
        <v>40</v>
      </c>
      <c r="H8">
        <f t="shared" si="3"/>
        <v>38.55915492957746</v>
      </c>
    </row>
    <row r="9" spans="1:8" x14ac:dyDescent="0.25">
      <c r="A9" s="24">
        <v>50</v>
      </c>
      <c r="B9" s="24">
        <v>0.68100000000000005</v>
      </c>
      <c r="C9" s="24">
        <v>0.71399999999999997</v>
      </c>
      <c r="D9" s="24">
        <f t="shared" si="0"/>
        <v>0.69750000000000001</v>
      </c>
      <c r="E9" s="24">
        <f t="shared" si="1"/>
        <v>2.333452377915601E-2</v>
      </c>
      <c r="F9">
        <f t="shared" si="2"/>
        <v>6.9749999999999996</v>
      </c>
      <c r="G9" s="24">
        <v>50</v>
      </c>
      <c r="H9">
        <f>(F9+0.3104)/0.142</f>
        <v>51.305633802816899</v>
      </c>
    </row>
  </sheetData>
  <mergeCells count="1">
    <mergeCell ref="A1:D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48.1-3</vt:lpstr>
      <vt:lpstr>49.1-3</vt:lpstr>
      <vt:lpstr>50.1</vt:lpstr>
      <vt:lpstr>51.1</vt:lpstr>
      <vt:lpstr>52.1</vt:lpstr>
      <vt:lpstr>53.1</vt:lpstr>
      <vt:lpstr>54.1-4</vt:lpstr>
      <vt:lpstr>control</vt:lpstr>
      <vt:lpstr>Phenol calibration </vt:lpstr>
      <vt:lpstr>55</vt:lpstr>
      <vt:lpstr>56</vt:lpstr>
    </vt:vector>
  </TitlesOfParts>
  <Company>University of Brighton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Dmitriy Berillo</dc:creator>
  <cp:lastModifiedBy>Dmitriy</cp:lastModifiedBy>
  <dcterms:created xsi:type="dcterms:W3CDTF">2017-08-02T14:20:38Z</dcterms:created>
  <dcterms:modified xsi:type="dcterms:W3CDTF">2021-02-22T04:30:00Z</dcterms:modified>
</cp:coreProperties>
</file>