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isa\Desktop\Research\NEW studies 2011-14 copied 21 Sep 13\DATA\HFintensity study\Master Data Sheets\"/>
    </mc:Choice>
  </mc:AlternateContent>
  <bookViews>
    <workbookView xWindow="0" yWindow="140" windowWidth="15320" windowHeight="7970"/>
  </bookViews>
  <sheets>
    <sheet name="All data" sheetId="4" r:id="rId1"/>
    <sheet name="FS " sheetId="18" r:id="rId2"/>
    <sheet name=" raw FS" sheetId="16" r:id="rId3"/>
    <sheet name="EPG " sheetId="5" r:id="rId4"/>
    <sheet name="Med" sheetId="11" r:id="rId5"/>
    <sheet name="METs poster" sheetId="12" r:id="rId6"/>
    <sheet name="VO2pk vs CRpk" sheetId="14" r:id="rId7"/>
    <sheet name="VO2pk vs CRaverage" sheetId="15" r:id="rId8"/>
    <sheet name="Sheet2" sheetId="17" r:id="rId9"/>
  </sheets>
  <calcPr calcId="152511"/>
</workbook>
</file>

<file path=xl/calcChain.xml><?xml version="1.0" encoding="utf-8"?>
<calcChain xmlns="http://schemas.openxmlformats.org/spreadsheetml/2006/main">
  <c r="N8" i="18" l="1"/>
  <c r="DV18" i="4"/>
  <c r="DO18" i="4"/>
  <c r="DM18" i="4"/>
  <c r="CZ18" i="4"/>
  <c r="CV18" i="4"/>
  <c r="CU18" i="4"/>
  <c r="CA18" i="4"/>
  <c r="I18" i="18" l="1"/>
  <c r="H18" i="18"/>
  <c r="G19" i="18"/>
  <c r="G18" i="18"/>
  <c r="CU24" i="4" l="1"/>
  <c r="CU3" i="4"/>
  <c r="CU4" i="4"/>
  <c r="CU5" i="4"/>
  <c r="CU6" i="4"/>
  <c r="CU7" i="4"/>
  <c r="CU8" i="4"/>
  <c r="CU9" i="4"/>
  <c r="CU10" i="4"/>
  <c r="CU11" i="4"/>
  <c r="CU12" i="4"/>
  <c r="CU13" i="4"/>
  <c r="CU14" i="4"/>
  <c r="CU15" i="4"/>
  <c r="CU2" i="4"/>
  <c r="DN3" i="4"/>
  <c r="DN4" i="4"/>
  <c r="DN5" i="4"/>
  <c r="DN6" i="4"/>
  <c r="DN7" i="4"/>
  <c r="DN8" i="4"/>
  <c r="DN9" i="4"/>
  <c r="DN10" i="4"/>
  <c r="DN11" i="4"/>
  <c r="DN12" i="4"/>
  <c r="DN13" i="4"/>
  <c r="DN14" i="4"/>
  <c r="DN15" i="4"/>
  <c r="DN2" i="4"/>
  <c r="CU27" i="4" l="1"/>
  <c r="CU23" i="4"/>
  <c r="CU26" i="4"/>
  <c r="CU25" i="4"/>
  <c r="AP18" i="4"/>
  <c r="CP18" i="4"/>
  <c r="H3" i="18" l="1"/>
  <c r="I3" i="18"/>
  <c r="H4" i="18"/>
  <c r="I4" i="18"/>
  <c r="H5" i="18"/>
  <c r="I5" i="18"/>
  <c r="H6" i="18"/>
  <c r="I6" i="18"/>
  <c r="H7" i="18"/>
  <c r="I7" i="18"/>
  <c r="H8" i="18"/>
  <c r="I8" i="18"/>
  <c r="H9" i="18"/>
  <c r="I9" i="18"/>
  <c r="H10" i="18"/>
  <c r="I10" i="18"/>
  <c r="H11" i="18"/>
  <c r="I11" i="18"/>
  <c r="H12" i="18"/>
  <c r="I12" i="18"/>
  <c r="H13" i="18"/>
  <c r="I13" i="18"/>
  <c r="H14" i="18"/>
  <c r="I14" i="18"/>
  <c r="H15" i="18"/>
  <c r="I15" i="18"/>
  <c r="H16" i="18"/>
  <c r="I16" i="18"/>
  <c r="I2" i="18"/>
  <c r="H2" i="18"/>
  <c r="C18" i="18" l="1"/>
  <c r="D18" i="18"/>
  <c r="E18" i="18"/>
  <c r="F18" i="18"/>
  <c r="C19" i="18"/>
  <c r="D19" i="18"/>
  <c r="E19" i="18"/>
  <c r="F19" i="18"/>
  <c r="B19" i="18"/>
  <c r="B18" i="18"/>
  <c r="DW3" i="4" l="1"/>
  <c r="DW4" i="4"/>
  <c r="DW27" i="4" s="1"/>
  <c r="DW5" i="4"/>
  <c r="DW6" i="4"/>
  <c r="DW7" i="4"/>
  <c r="DW8" i="4"/>
  <c r="DW9" i="4"/>
  <c r="DW10" i="4"/>
  <c r="DW11" i="4"/>
  <c r="DW12" i="4"/>
  <c r="DW13" i="4"/>
  <c r="DW14" i="4"/>
  <c r="DW15" i="4"/>
  <c r="DW2" i="4"/>
  <c r="DW23" i="4" s="1"/>
  <c r="CM3" i="4"/>
  <c r="CM4" i="4"/>
  <c r="CM5" i="4"/>
  <c r="CM6" i="4"/>
  <c r="CM7" i="4"/>
  <c r="CM8" i="4"/>
  <c r="CM9" i="4"/>
  <c r="CM10" i="4"/>
  <c r="CM11" i="4"/>
  <c r="CM12" i="4"/>
  <c r="CM13" i="4"/>
  <c r="CM14" i="4"/>
  <c r="CM15" i="4"/>
  <c r="CM2" i="4"/>
  <c r="CJ4" i="4"/>
  <c r="R3" i="4"/>
  <c r="R5" i="4"/>
  <c r="R6" i="4"/>
  <c r="R7" i="4"/>
  <c r="R8" i="4"/>
  <c r="R9" i="4"/>
  <c r="R10" i="4"/>
  <c r="R12" i="4"/>
  <c r="R14" i="4"/>
  <c r="R15" i="4"/>
  <c r="R16" i="4"/>
  <c r="R2" i="4"/>
  <c r="Q2" i="4"/>
  <c r="Q3" i="4"/>
  <c r="Q4" i="4"/>
  <c r="Q6" i="4"/>
  <c r="Q7" i="4"/>
  <c r="Q8" i="4"/>
  <c r="Q9" i="4"/>
  <c r="Q10" i="4"/>
  <c r="Q11" i="4"/>
  <c r="Q12" i="4"/>
  <c r="Q13" i="4"/>
  <c r="Q14" i="4"/>
  <c r="Q15" i="4"/>
  <c r="Q16" i="4"/>
  <c r="CM23" i="4" l="1"/>
  <c r="DW26" i="4"/>
  <c r="DW24" i="4"/>
  <c r="DW25" i="4"/>
  <c r="CM26" i="4"/>
  <c r="CM25" i="4"/>
  <c r="CM24" i="4"/>
  <c r="CM27" i="4"/>
  <c r="R27" i="4"/>
  <c r="R25" i="4"/>
  <c r="R23" i="4"/>
  <c r="R26" i="4"/>
  <c r="R24" i="4"/>
  <c r="BL3" i="4"/>
  <c r="BL5" i="4"/>
  <c r="BL6" i="4"/>
  <c r="BL7" i="4"/>
  <c r="BL8" i="4"/>
  <c r="BL9" i="4"/>
  <c r="BL10" i="4"/>
  <c r="BL12" i="4"/>
  <c r="BL14" i="4"/>
  <c r="BL15" i="4"/>
  <c r="BL16" i="4"/>
  <c r="BL2" i="4"/>
  <c r="BJ3" i="4"/>
  <c r="BJ4" i="4"/>
  <c r="BJ6" i="4"/>
  <c r="BJ7" i="4"/>
  <c r="BJ8" i="4"/>
  <c r="BJ9" i="4"/>
  <c r="BJ10" i="4"/>
  <c r="BJ11" i="4"/>
  <c r="BJ12" i="4"/>
  <c r="BJ13" i="4"/>
  <c r="BJ14" i="4"/>
  <c r="BJ15" i="4"/>
  <c r="BJ16" i="4"/>
  <c r="BJ2" i="4"/>
  <c r="AE3" i="4" l="1"/>
  <c r="BM3" i="4" s="1"/>
  <c r="AE5" i="4"/>
  <c r="BM5" i="4" s="1"/>
  <c r="AE6" i="4"/>
  <c r="BM6" i="4" s="1"/>
  <c r="AE7" i="4"/>
  <c r="BM7" i="4" s="1"/>
  <c r="AE8" i="4"/>
  <c r="BM8" i="4" s="1"/>
  <c r="AE9" i="4"/>
  <c r="BM9" i="4" s="1"/>
  <c r="AE10" i="4"/>
  <c r="BM10" i="4" s="1"/>
  <c r="AE12" i="4"/>
  <c r="BM12" i="4" s="1"/>
  <c r="AE14" i="4"/>
  <c r="BM14" i="4" s="1"/>
  <c r="AE15" i="4"/>
  <c r="BM15" i="4" s="1"/>
  <c r="AE16" i="4"/>
  <c r="BM16" i="4" s="1"/>
  <c r="AE2" i="4"/>
  <c r="AA3" i="4"/>
  <c r="BK3" i="4" s="1"/>
  <c r="AA4" i="4"/>
  <c r="BK4" i="4" s="1"/>
  <c r="AA6" i="4"/>
  <c r="BK6" i="4" s="1"/>
  <c r="AA7" i="4"/>
  <c r="BK7" i="4" s="1"/>
  <c r="AA8" i="4"/>
  <c r="BK8" i="4" s="1"/>
  <c r="AA9" i="4"/>
  <c r="BK9" i="4" s="1"/>
  <c r="AA10" i="4"/>
  <c r="BK10" i="4" s="1"/>
  <c r="AA11" i="4"/>
  <c r="BK11" i="4" s="1"/>
  <c r="AA12" i="4"/>
  <c r="BK12" i="4" s="1"/>
  <c r="AA13" i="4"/>
  <c r="BK13" i="4" s="1"/>
  <c r="AA14" i="4"/>
  <c r="BK14" i="4" s="1"/>
  <c r="AA15" i="4"/>
  <c r="BK15" i="4" s="1"/>
  <c r="AA16" i="4"/>
  <c r="BK16" i="4" s="1"/>
  <c r="AA2" i="4"/>
  <c r="BK2" i="4" s="1"/>
  <c r="T3" i="4"/>
  <c r="CN3" i="4" s="1"/>
  <c r="T4" i="4"/>
  <c r="T5" i="4"/>
  <c r="CN5" i="4" s="1"/>
  <c r="T6" i="4"/>
  <c r="CN6" i="4" s="1"/>
  <c r="T7" i="4"/>
  <c r="CN7" i="4" s="1"/>
  <c r="T8" i="4"/>
  <c r="CN8" i="4" s="1"/>
  <c r="T9" i="4"/>
  <c r="CN9" i="4" s="1"/>
  <c r="T10" i="4"/>
  <c r="CN10" i="4" s="1"/>
  <c r="T11" i="4"/>
  <c r="CN11" i="4" s="1"/>
  <c r="T12" i="4"/>
  <c r="CN12" i="4" s="1"/>
  <c r="T13" i="4"/>
  <c r="CN13" i="4" s="1"/>
  <c r="T14" i="4"/>
  <c r="CN14" i="4" s="1"/>
  <c r="T15" i="4"/>
  <c r="CN15" i="4" s="1"/>
  <c r="T16" i="4"/>
  <c r="T2" i="4"/>
  <c r="CN2" i="4" s="1"/>
  <c r="AX3" i="4"/>
  <c r="AX4" i="4"/>
  <c r="AX5" i="4"/>
  <c r="AX6" i="4"/>
  <c r="AX7" i="4"/>
  <c r="AX8" i="4"/>
  <c r="AX9" i="4"/>
  <c r="AX10" i="4"/>
  <c r="AX11" i="4"/>
  <c r="AX12" i="4"/>
  <c r="AX13" i="4"/>
  <c r="AX14" i="4"/>
  <c r="AX15" i="4"/>
  <c r="AX16" i="4"/>
  <c r="AX2" i="4"/>
  <c r="AX25" i="4" s="1"/>
  <c r="CN4" i="4" l="1"/>
  <c r="CK4" i="4"/>
  <c r="CN26" i="4"/>
  <c r="CN24" i="4"/>
  <c r="CN23" i="4"/>
  <c r="CN27" i="4"/>
  <c r="CN25" i="4"/>
  <c r="AE25" i="4"/>
  <c r="BM2" i="4"/>
  <c r="AE24" i="4"/>
  <c r="AE27" i="4"/>
  <c r="AE23" i="4"/>
  <c r="AE26" i="4"/>
  <c r="AX24" i="4"/>
  <c r="AX27" i="4"/>
  <c r="AX23" i="4"/>
  <c r="AX26" i="4"/>
  <c r="C33" i="4"/>
  <c r="C32" i="4"/>
  <c r="DI3" i="4"/>
  <c r="DI4" i="4"/>
  <c r="DI5" i="4"/>
  <c r="DI7" i="4"/>
  <c r="DI8" i="4"/>
  <c r="DI10" i="4"/>
  <c r="DI11" i="4"/>
  <c r="DI12" i="4"/>
  <c r="DI13" i="4"/>
  <c r="DI14" i="4"/>
  <c r="DI15" i="4"/>
  <c r="DI2" i="4"/>
  <c r="BV3" i="4"/>
  <c r="BV4" i="4"/>
  <c r="BV5" i="4"/>
  <c r="BV7" i="4"/>
  <c r="BV8" i="4"/>
  <c r="BV10" i="4"/>
  <c r="BV11" i="4"/>
  <c r="BV12" i="4"/>
  <c r="BV13" i="4"/>
  <c r="BV14" i="4"/>
  <c r="BV15" i="4"/>
  <c r="BV16" i="4"/>
  <c r="BV2" i="4"/>
  <c r="I42" i="5" l="1"/>
  <c r="J42" i="5"/>
  <c r="H42" i="5"/>
  <c r="E42" i="5"/>
  <c r="F42" i="5"/>
  <c r="D42" i="5"/>
  <c r="E41" i="5"/>
  <c r="F41" i="5"/>
  <c r="H41" i="5"/>
  <c r="I41" i="5"/>
  <c r="J41" i="5"/>
  <c r="D41" i="5"/>
  <c r="I40" i="5"/>
  <c r="J40" i="5"/>
  <c r="H40" i="5"/>
  <c r="E40" i="5"/>
  <c r="F40" i="5"/>
  <c r="D40" i="5"/>
  <c r="I39" i="5"/>
  <c r="J39" i="5"/>
  <c r="H39" i="5"/>
  <c r="E39" i="5"/>
  <c r="F39" i="5"/>
  <c r="D39" i="5"/>
  <c r="I38" i="5"/>
  <c r="J38" i="5"/>
  <c r="H38" i="5"/>
  <c r="E38" i="5"/>
  <c r="F38" i="5"/>
  <c r="D38" i="5"/>
  <c r="ID14" i="4" l="1"/>
  <c r="HC14" i="4"/>
  <c r="GL14" i="4"/>
  <c r="HD14" i="4"/>
  <c r="GY14" i="4"/>
  <c r="GG14" i="4"/>
  <c r="GK14" i="4" s="1"/>
  <c r="GC14" i="4"/>
  <c r="GJ14" i="4" s="1"/>
  <c r="GU14" i="4"/>
  <c r="HR14" i="4"/>
  <c r="HO14" i="4"/>
  <c r="HB14" i="4" l="1"/>
  <c r="GP14" i="4"/>
  <c r="GA14" i="4"/>
  <c r="FZ14" i="4"/>
  <c r="FY14" i="4"/>
  <c r="FT14" i="4"/>
  <c r="FS14" i="4"/>
  <c r="FR14" i="4"/>
  <c r="FK14" i="4" l="1"/>
  <c r="FE14" i="4"/>
  <c r="FA14" i="4"/>
  <c r="EY14" i="4"/>
  <c r="EW14" i="4"/>
  <c r="ET14" i="4"/>
  <c r="ES14" i="4"/>
  <c r="ER14" i="4"/>
  <c r="EQ14" i="4"/>
  <c r="EM14" i="4"/>
  <c r="HG23" i="4" l="1"/>
  <c r="HI23" i="4"/>
  <c r="HJ23" i="4"/>
  <c r="HK23" i="4"/>
  <c r="HG24" i="4"/>
  <c r="HI24" i="4"/>
  <c r="HJ24" i="4"/>
  <c r="HK24" i="4"/>
  <c r="HG25" i="4"/>
  <c r="HI25" i="4"/>
  <c r="HJ25" i="4"/>
  <c r="HK25" i="4"/>
  <c r="HG26" i="4"/>
  <c r="HI26" i="4"/>
  <c r="HJ26" i="4"/>
  <c r="HK26" i="4"/>
  <c r="HG27" i="4"/>
  <c r="HI27" i="4"/>
  <c r="HJ27" i="4"/>
  <c r="HK27" i="4"/>
  <c r="HF27" i="4"/>
  <c r="HF26" i="4"/>
  <c r="HF25" i="4"/>
  <c r="HF24" i="4"/>
  <c r="HF23" i="4"/>
  <c r="GR27" i="12"/>
  <c r="GQ27" i="12"/>
  <c r="GP27" i="12"/>
  <c r="GO27" i="12"/>
  <c r="GN27" i="12"/>
  <c r="DU27" i="12"/>
  <c r="DQ27" i="12"/>
  <c r="DP27" i="12"/>
  <c r="DK27" i="12"/>
  <c r="DJ27" i="12"/>
  <c r="DI27" i="12"/>
  <c r="DG27" i="12"/>
  <c r="CS27" i="12"/>
  <c r="CI27" i="12"/>
  <c r="CG27" i="12"/>
  <c r="CF27" i="12"/>
  <c r="CB27" i="12"/>
  <c r="BY27" i="12"/>
  <c r="BX27" i="12"/>
  <c r="BU27" i="12"/>
  <c r="BT27" i="12"/>
  <c r="BS27" i="12"/>
  <c r="BO27" i="12"/>
  <c r="BN27" i="12"/>
  <c r="BJ27" i="12"/>
  <c r="BF27" i="12"/>
  <c r="AZ27" i="12"/>
  <c r="AS27" i="12"/>
  <c r="AR27" i="12"/>
  <c r="AQ27" i="12"/>
  <c r="AL27" i="12"/>
  <c r="AK27" i="12"/>
  <c r="AI27" i="12"/>
  <c r="AH27" i="12"/>
  <c r="AG27" i="12"/>
  <c r="AF27" i="12"/>
  <c r="AD27" i="12"/>
  <c r="AB27" i="12"/>
  <c r="AA27" i="12"/>
  <c r="Y27" i="12"/>
  <c r="V27" i="12"/>
  <c r="U27" i="12"/>
  <c r="Q27" i="12"/>
  <c r="L27" i="12"/>
  <c r="K27" i="12"/>
  <c r="J27" i="12"/>
  <c r="H27" i="12"/>
  <c r="G27" i="12"/>
  <c r="F27" i="12"/>
  <c r="GR26" i="12"/>
  <c r="GQ26" i="12"/>
  <c r="GP26" i="12"/>
  <c r="GO26" i="12"/>
  <c r="GN26" i="12"/>
  <c r="DU26" i="12"/>
  <c r="DQ26" i="12"/>
  <c r="DP26" i="12"/>
  <c r="DK26" i="12"/>
  <c r="DJ26" i="12"/>
  <c r="DI26" i="12"/>
  <c r="DG26" i="12"/>
  <c r="CS26" i="12"/>
  <c r="CI26" i="12"/>
  <c r="CG26" i="12"/>
  <c r="CF26" i="12"/>
  <c r="CB26" i="12"/>
  <c r="BY26" i="12"/>
  <c r="BX26" i="12"/>
  <c r="BU26" i="12"/>
  <c r="BT26" i="12"/>
  <c r="BS26" i="12"/>
  <c r="BO26" i="12"/>
  <c r="BN26" i="12"/>
  <c r="BJ26" i="12"/>
  <c r="BF26" i="12"/>
  <c r="AZ26" i="12"/>
  <c r="AS26" i="12"/>
  <c r="AR26" i="12"/>
  <c r="AQ26" i="12"/>
  <c r="AL26" i="12"/>
  <c r="AK26" i="12"/>
  <c r="AI26" i="12"/>
  <c r="AH26" i="12"/>
  <c r="AG26" i="12"/>
  <c r="AF26" i="12"/>
  <c r="AD26" i="12"/>
  <c r="AB26" i="12"/>
  <c r="AA26" i="12"/>
  <c r="Y26" i="12"/>
  <c r="V26" i="12"/>
  <c r="U26" i="12"/>
  <c r="Q26" i="12"/>
  <c r="L26" i="12"/>
  <c r="K26" i="12"/>
  <c r="J26" i="12"/>
  <c r="H26" i="12"/>
  <c r="G26" i="12"/>
  <c r="F26" i="12"/>
  <c r="GR25" i="12"/>
  <c r="GQ25" i="12"/>
  <c r="GP25" i="12"/>
  <c r="GO25" i="12"/>
  <c r="GN25" i="12"/>
  <c r="DU25" i="12"/>
  <c r="DQ25" i="12"/>
  <c r="DP25" i="12"/>
  <c r="DK25" i="12"/>
  <c r="DJ25" i="12"/>
  <c r="DI25" i="12"/>
  <c r="DG25" i="12"/>
  <c r="CS25" i="12"/>
  <c r="CI25" i="12"/>
  <c r="CG25" i="12"/>
  <c r="CF25" i="12"/>
  <c r="CB25" i="12"/>
  <c r="BY25" i="12"/>
  <c r="BX25" i="12"/>
  <c r="BU25" i="12"/>
  <c r="BT25" i="12"/>
  <c r="BS25" i="12"/>
  <c r="BO25" i="12"/>
  <c r="BN25" i="12"/>
  <c r="BJ25" i="12"/>
  <c r="BF25" i="12"/>
  <c r="AZ25" i="12"/>
  <c r="AS25" i="12"/>
  <c r="AR25" i="12"/>
  <c r="AQ25" i="12"/>
  <c r="AL25" i="12"/>
  <c r="AK25" i="12"/>
  <c r="AI25" i="12"/>
  <c r="AH25" i="12"/>
  <c r="AG25" i="12"/>
  <c r="AF25" i="12"/>
  <c r="AD25" i="12"/>
  <c r="AB25" i="12"/>
  <c r="AA25" i="12"/>
  <c r="Y25" i="12"/>
  <c r="V25" i="12"/>
  <c r="U25" i="12"/>
  <c r="Q25" i="12"/>
  <c r="L25" i="12"/>
  <c r="K25" i="12"/>
  <c r="J25" i="12"/>
  <c r="H25" i="12"/>
  <c r="G25" i="12"/>
  <c r="F25" i="12"/>
  <c r="GR24" i="12"/>
  <c r="GQ24" i="12"/>
  <c r="GP24" i="12"/>
  <c r="GO24" i="12"/>
  <c r="GN24" i="12"/>
  <c r="DU24" i="12"/>
  <c r="DQ24" i="12"/>
  <c r="DP24" i="12"/>
  <c r="DK24" i="12"/>
  <c r="DJ24" i="12"/>
  <c r="DI24" i="12"/>
  <c r="DG24" i="12"/>
  <c r="CS24" i="12"/>
  <c r="CI24" i="12"/>
  <c r="CG24" i="12"/>
  <c r="CF24" i="12"/>
  <c r="CB24" i="12"/>
  <c r="BY24" i="12"/>
  <c r="BX24" i="12"/>
  <c r="BU24" i="12"/>
  <c r="BT24" i="12"/>
  <c r="BS24" i="12"/>
  <c r="BN24" i="12"/>
  <c r="BJ24" i="12"/>
  <c r="BF24" i="12"/>
  <c r="AZ24" i="12"/>
  <c r="AS24" i="12"/>
  <c r="AR24" i="12"/>
  <c r="AQ24" i="12"/>
  <c r="AL24" i="12"/>
  <c r="AK24" i="12"/>
  <c r="AI24" i="12"/>
  <c r="AH24" i="12"/>
  <c r="AG24" i="12"/>
  <c r="AF24" i="12"/>
  <c r="AD24" i="12"/>
  <c r="AB24" i="12"/>
  <c r="AA24" i="12"/>
  <c r="Y24" i="12"/>
  <c r="V24" i="12"/>
  <c r="U24" i="12"/>
  <c r="Q24" i="12"/>
  <c r="L24" i="12"/>
  <c r="K24" i="12"/>
  <c r="J24" i="12"/>
  <c r="H24" i="12"/>
  <c r="G24" i="12"/>
  <c r="F24" i="12"/>
  <c r="GR23" i="12"/>
  <c r="GQ23" i="12"/>
  <c r="GP23" i="12"/>
  <c r="GO23" i="12"/>
  <c r="GN23" i="12"/>
  <c r="DU23" i="12"/>
  <c r="DQ23" i="12"/>
  <c r="DP23" i="12"/>
  <c r="DK23" i="12"/>
  <c r="DJ23" i="12"/>
  <c r="DI23" i="12"/>
  <c r="DG23" i="12"/>
  <c r="CS23" i="12"/>
  <c r="CI23" i="12"/>
  <c r="CG23" i="12"/>
  <c r="CF23" i="12"/>
  <c r="CB23" i="12"/>
  <c r="BY23" i="12"/>
  <c r="BX23" i="12"/>
  <c r="BU23" i="12"/>
  <c r="BT23" i="12"/>
  <c r="BS23" i="12"/>
  <c r="BO23" i="12"/>
  <c r="BN23" i="12"/>
  <c r="BJ23" i="12"/>
  <c r="BF23" i="12"/>
  <c r="AZ23" i="12"/>
  <c r="AS23" i="12"/>
  <c r="AR23" i="12"/>
  <c r="AQ23" i="12"/>
  <c r="AL23" i="12"/>
  <c r="AK23" i="12"/>
  <c r="AI23" i="12"/>
  <c r="AH23" i="12"/>
  <c r="AG23" i="12"/>
  <c r="AF23" i="12"/>
  <c r="AD23" i="12"/>
  <c r="AB23" i="12"/>
  <c r="AA23" i="12"/>
  <c r="Y23" i="12"/>
  <c r="V23" i="12"/>
  <c r="U23" i="12"/>
  <c r="Q23" i="12"/>
  <c r="L23" i="12"/>
  <c r="K23" i="12"/>
  <c r="J23" i="12"/>
  <c r="H23" i="12"/>
  <c r="G23" i="12"/>
  <c r="F23" i="12"/>
  <c r="GS16" i="12"/>
  <c r="GG16" i="12"/>
  <c r="CX16" i="12"/>
  <c r="CU16" i="12"/>
  <c r="BR16" i="12"/>
  <c r="BQ16" i="12"/>
  <c r="DD16" i="12" s="1"/>
  <c r="BG16" i="12"/>
  <c r="CT16" i="12" s="1"/>
  <c r="BE16" i="12"/>
  <c r="BD16" i="12"/>
  <c r="BB16" i="12"/>
  <c r="BA16" i="12"/>
  <c r="AX16" i="12"/>
  <c r="AW16" i="12"/>
  <c r="AU16" i="12"/>
  <c r="AT16" i="12"/>
  <c r="AV16" i="12" s="1"/>
  <c r="AP16" i="12"/>
  <c r="AO16" i="12"/>
  <c r="AM16" i="12"/>
  <c r="AJ16" i="12"/>
  <c r="T16" i="12"/>
  <c r="S16" i="12"/>
  <c r="R16" i="12"/>
  <c r="P16" i="12"/>
  <c r="O16" i="12"/>
  <c r="N16" i="12"/>
  <c r="M16" i="12"/>
  <c r="I16" i="12"/>
  <c r="GY15" i="12"/>
  <c r="GS15" i="12"/>
  <c r="GG15" i="12"/>
  <c r="GC15" i="12"/>
  <c r="DF15" i="12"/>
  <c r="DA15" i="12"/>
  <c r="CZ15" i="12"/>
  <c r="CY15" i="12"/>
  <c r="CX15" i="12"/>
  <c r="CV15" i="12"/>
  <c r="CU15" i="12"/>
  <c r="CT15" i="12"/>
  <c r="CO15" i="12"/>
  <c r="CR15" i="12" s="1"/>
  <c r="CN15" i="12"/>
  <c r="CQ15" i="12" s="1"/>
  <c r="CM15" i="12"/>
  <c r="CP15" i="12" s="1"/>
  <c r="CD15" i="12"/>
  <c r="CC15" i="12"/>
  <c r="CA15" i="12"/>
  <c r="BZ15" i="12"/>
  <c r="BV15" i="12"/>
  <c r="BR15" i="12"/>
  <c r="DE15" i="12" s="1"/>
  <c r="BQ15" i="12"/>
  <c r="DD15" i="12" s="1"/>
  <c r="BP15" i="12"/>
  <c r="DC15" i="12" s="1"/>
  <c r="BG15" i="12"/>
  <c r="BE15" i="12"/>
  <c r="BD15" i="12"/>
  <c r="BB15" i="12"/>
  <c r="BA15" i="12"/>
  <c r="AX15" i="12"/>
  <c r="AW15" i="12"/>
  <c r="AU15" i="12"/>
  <c r="AT15" i="12"/>
  <c r="AP15" i="12"/>
  <c r="AO15" i="12"/>
  <c r="AM15" i="12"/>
  <c r="AJ15" i="12"/>
  <c r="T15" i="12"/>
  <c r="S15" i="12"/>
  <c r="R15" i="12"/>
  <c r="AY15" i="12" s="1"/>
  <c r="P15" i="12"/>
  <c r="O15" i="12"/>
  <c r="N15" i="12"/>
  <c r="M15" i="12"/>
  <c r="I15" i="12"/>
  <c r="GS14" i="12"/>
  <c r="GC14" i="12"/>
  <c r="DF14" i="12"/>
  <c r="CZ14" i="12"/>
  <c r="CY14" i="12"/>
  <c r="CX14" i="12"/>
  <c r="CU14" i="12"/>
  <c r="CT14" i="12"/>
  <c r="CP14" i="12"/>
  <c r="CO14" i="12"/>
  <c r="CR14" i="12" s="1"/>
  <c r="CN14" i="12"/>
  <c r="CQ14" i="12" s="1"/>
  <c r="CM14" i="12"/>
  <c r="CC14" i="12"/>
  <c r="CA14" i="12"/>
  <c r="BZ14" i="12"/>
  <c r="BV14" i="12"/>
  <c r="BR14" i="12"/>
  <c r="DE14" i="12" s="1"/>
  <c r="BQ14" i="12"/>
  <c r="DD14" i="12" s="1"/>
  <c r="BP14" i="12"/>
  <c r="DC14" i="12" s="1"/>
  <c r="BE14" i="12"/>
  <c r="BD14" i="12"/>
  <c r="BB14" i="12"/>
  <c r="BA14" i="12"/>
  <c r="AX14" i="12"/>
  <c r="AW14" i="12"/>
  <c r="AU14" i="12"/>
  <c r="AT14" i="12"/>
  <c r="AP14" i="12"/>
  <c r="AO14" i="12"/>
  <c r="AN14" i="12"/>
  <c r="AM14" i="12"/>
  <c r="AJ14" i="12"/>
  <c r="T14" i="12"/>
  <c r="S14" i="12"/>
  <c r="R14" i="12"/>
  <c r="BC14" i="12" s="1"/>
  <c r="P14" i="12"/>
  <c r="O14" i="12"/>
  <c r="N14" i="12"/>
  <c r="GY14" i="12" s="1"/>
  <c r="M14" i="12"/>
  <c r="I14" i="12"/>
  <c r="GC13" i="12"/>
  <c r="DF13" i="12"/>
  <c r="CZ13" i="12"/>
  <c r="CY13" i="12"/>
  <c r="CX13" i="12"/>
  <c r="CV13" i="12"/>
  <c r="CU13" i="12"/>
  <c r="CT13" i="12"/>
  <c r="CO13" i="12"/>
  <c r="CR13" i="12" s="1"/>
  <c r="CN13" i="12"/>
  <c r="CQ13" i="12" s="1"/>
  <c r="CM13" i="12"/>
  <c r="CP13" i="12" s="1"/>
  <c r="CC13" i="12"/>
  <c r="CA13" i="12"/>
  <c r="BZ13" i="12"/>
  <c r="BV13" i="12"/>
  <c r="BR13" i="12"/>
  <c r="DE13" i="12" s="1"/>
  <c r="BQ13" i="12"/>
  <c r="DD13" i="12" s="1"/>
  <c r="BP13" i="12"/>
  <c r="DC13" i="12" s="1"/>
  <c r="BE13" i="12"/>
  <c r="BD13" i="12"/>
  <c r="BB13" i="12"/>
  <c r="BA13" i="12"/>
  <c r="AX13" i="12"/>
  <c r="AW13" i="12"/>
  <c r="AU13" i="12"/>
  <c r="AT13" i="12"/>
  <c r="AP13" i="12"/>
  <c r="AO13" i="12"/>
  <c r="AN13" i="12"/>
  <c r="AM13" i="12"/>
  <c r="AJ13" i="12"/>
  <c r="T13" i="12"/>
  <c r="S13" i="12"/>
  <c r="R13" i="12"/>
  <c r="BC13" i="12" s="1"/>
  <c r="O13" i="12"/>
  <c r="N13" i="12"/>
  <c r="M13" i="12"/>
  <c r="I13" i="12"/>
  <c r="GS12" i="12"/>
  <c r="DF12" i="12"/>
  <c r="DD12" i="12"/>
  <c r="CZ12" i="12"/>
  <c r="CY12" i="12"/>
  <c r="CX12" i="12"/>
  <c r="CW12" i="12"/>
  <c r="CU12" i="12"/>
  <c r="CT12" i="12"/>
  <c r="CR12" i="12"/>
  <c r="CP12" i="12"/>
  <c r="CO12" i="12"/>
  <c r="CN12" i="12"/>
  <c r="CQ12" i="12" s="1"/>
  <c r="CM12" i="12"/>
  <c r="CC12" i="12"/>
  <c r="CA12" i="12"/>
  <c r="BZ12" i="12"/>
  <c r="BV12" i="12"/>
  <c r="BR12" i="12"/>
  <c r="DE12" i="12" s="1"/>
  <c r="BQ12" i="12"/>
  <c r="BP12" i="12"/>
  <c r="DC12" i="12" s="1"/>
  <c r="BE12" i="12"/>
  <c r="BD12" i="12"/>
  <c r="BB12" i="12"/>
  <c r="BA12" i="12"/>
  <c r="AX12" i="12"/>
  <c r="AW12" i="12"/>
  <c r="AU12" i="12"/>
  <c r="AT12" i="12"/>
  <c r="AV12" i="12" s="1"/>
  <c r="AP12" i="12"/>
  <c r="AO12" i="12"/>
  <c r="AM12" i="12"/>
  <c r="AJ12" i="12"/>
  <c r="T12" i="12"/>
  <c r="S12" i="12"/>
  <c r="R12" i="12"/>
  <c r="BC12" i="12" s="1"/>
  <c r="P12" i="12"/>
  <c r="O12" i="12"/>
  <c r="N12" i="12"/>
  <c r="GY12" i="12" s="1"/>
  <c r="M12" i="12"/>
  <c r="I12" i="12"/>
  <c r="GS11" i="12"/>
  <c r="DF11" i="12"/>
  <c r="DC11" i="12"/>
  <c r="DB11" i="12"/>
  <c r="CZ11" i="12"/>
  <c r="CY11" i="12"/>
  <c r="CX11" i="12"/>
  <c r="CU11" i="12"/>
  <c r="CT11" i="12"/>
  <c r="CO11" i="12"/>
  <c r="CR11" i="12" s="1"/>
  <c r="CN11" i="12"/>
  <c r="CQ11" i="12" s="1"/>
  <c r="CM11" i="12"/>
  <c r="CP11" i="12" s="1"/>
  <c r="CC11" i="12"/>
  <c r="CA11" i="12"/>
  <c r="BZ11" i="12"/>
  <c r="BV11" i="12"/>
  <c r="BR11" i="12"/>
  <c r="DE11" i="12" s="1"/>
  <c r="BQ11" i="12"/>
  <c r="DD11" i="12" s="1"/>
  <c r="BP11" i="12"/>
  <c r="BE11" i="12"/>
  <c r="BD11" i="12"/>
  <c r="BB11" i="12"/>
  <c r="BA11" i="12"/>
  <c r="AX11" i="12"/>
  <c r="AW11" i="12"/>
  <c r="AU11" i="12"/>
  <c r="AT11" i="12"/>
  <c r="AP11" i="12"/>
  <c r="AO11" i="12"/>
  <c r="AM11" i="12"/>
  <c r="AJ11" i="12"/>
  <c r="T11" i="12"/>
  <c r="S11" i="12"/>
  <c r="R11" i="12"/>
  <c r="AY11" i="12" s="1"/>
  <c r="O11" i="12"/>
  <c r="N11" i="12"/>
  <c r="GY11" i="12" s="1"/>
  <c r="M11" i="12"/>
  <c r="I11" i="12"/>
  <c r="GG10" i="12"/>
  <c r="GC10" i="12"/>
  <c r="DF10" i="12"/>
  <c r="DA10" i="12"/>
  <c r="CY10" i="12"/>
  <c r="CX10" i="12"/>
  <c r="CV10" i="12"/>
  <c r="CT10" i="12"/>
  <c r="CO10" i="12"/>
  <c r="CR10" i="12" s="1"/>
  <c r="CN10" i="12"/>
  <c r="CQ10" i="12" s="1"/>
  <c r="CL10" i="12"/>
  <c r="CE10" i="12"/>
  <c r="CC10" i="12"/>
  <c r="CA10" i="12"/>
  <c r="BZ10" i="12"/>
  <c r="BV10" i="12"/>
  <c r="BR10" i="12"/>
  <c r="DE10" i="12" s="1"/>
  <c r="BQ10" i="12"/>
  <c r="DD10" i="12" s="1"/>
  <c r="BM10" i="12"/>
  <c r="CZ10" i="12" s="1"/>
  <c r="BH10" i="12"/>
  <c r="CU10" i="12" s="1"/>
  <c r="BE10" i="12"/>
  <c r="BD10" i="12"/>
  <c r="BB10" i="12"/>
  <c r="BA10" i="12"/>
  <c r="AX10" i="12"/>
  <c r="AW10" i="12"/>
  <c r="AU10" i="12"/>
  <c r="AT10" i="12"/>
  <c r="AV10" i="12" s="1"/>
  <c r="AP10" i="12"/>
  <c r="AO10" i="12"/>
  <c r="AM10" i="12"/>
  <c r="AJ10" i="12"/>
  <c r="T10" i="12"/>
  <c r="S10" i="12"/>
  <c r="R10" i="12"/>
  <c r="BC10" i="12" s="1"/>
  <c r="P10" i="12"/>
  <c r="O10" i="12"/>
  <c r="N10" i="12"/>
  <c r="M10" i="12"/>
  <c r="I10" i="12"/>
  <c r="GS9" i="12"/>
  <c r="DF9" i="12"/>
  <c r="CY9" i="12"/>
  <c r="CV9" i="12"/>
  <c r="CU9" i="12"/>
  <c r="CT9" i="12"/>
  <c r="CO9" i="12"/>
  <c r="CR9" i="12" s="1"/>
  <c r="CM9" i="12"/>
  <c r="CP9" i="12" s="1"/>
  <c r="CL9" i="12"/>
  <c r="CJ9" i="12"/>
  <c r="CN9" i="12" s="1"/>
  <c r="CQ9" i="12" s="1"/>
  <c r="CC9" i="12"/>
  <c r="CA9" i="12"/>
  <c r="BZ9" i="12"/>
  <c r="BV9" i="12"/>
  <c r="BR9" i="12"/>
  <c r="DE9" i="12" s="1"/>
  <c r="BQ9" i="12"/>
  <c r="DD9" i="12" s="1"/>
  <c r="BM9" i="12"/>
  <c r="BK9" i="12"/>
  <c r="CX9" i="12" s="1"/>
  <c r="BE9" i="12"/>
  <c r="BD9" i="12"/>
  <c r="BB9" i="12"/>
  <c r="BA9" i="12"/>
  <c r="AX9" i="12"/>
  <c r="AW9" i="12"/>
  <c r="AU9" i="12"/>
  <c r="AT9" i="12"/>
  <c r="AV9" i="12" s="1"/>
  <c r="AP9" i="12"/>
  <c r="AO9" i="12"/>
  <c r="AM9" i="12"/>
  <c r="AJ9" i="12"/>
  <c r="T9" i="12"/>
  <c r="S9" i="12"/>
  <c r="R9" i="12"/>
  <c r="AY9" i="12" s="1"/>
  <c r="P9" i="12"/>
  <c r="O9" i="12"/>
  <c r="N9" i="12"/>
  <c r="GY9" i="12" s="1"/>
  <c r="M9" i="12"/>
  <c r="I9" i="12"/>
  <c r="GY8" i="12"/>
  <c r="GS8" i="12"/>
  <c r="GJ8" i="12"/>
  <c r="FX8" i="12"/>
  <c r="FW8" i="12"/>
  <c r="FK8" i="12"/>
  <c r="FF8" i="12"/>
  <c r="FE8" i="12"/>
  <c r="EV8" i="12"/>
  <c r="EU8" i="12"/>
  <c r="ET8" i="12"/>
  <c r="EO8" i="12"/>
  <c r="EN8" i="12"/>
  <c r="EM8" i="12"/>
  <c r="EF8" i="12"/>
  <c r="ED8" i="12"/>
  <c r="DZ8" i="12"/>
  <c r="DV8" i="12"/>
  <c r="DT8" i="12"/>
  <c r="DR8" i="12"/>
  <c r="DO8" i="12"/>
  <c r="DN8" i="12"/>
  <c r="DM8" i="12"/>
  <c r="DL8" i="12"/>
  <c r="DH8" i="12"/>
  <c r="DF8" i="12"/>
  <c r="DA8" i="12"/>
  <c r="CZ8" i="12"/>
  <c r="CY8" i="12"/>
  <c r="CX8" i="12"/>
  <c r="CV8" i="12"/>
  <c r="CU8" i="12"/>
  <c r="CR8" i="12"/>
  <c r="CO8" i="12"/>
  <c r="CN8" i="12"/>
  <c r="CQ8" i="12" s="1"/>
  <c r="CD8" i="12"/>
  <c r="CC8" i="12"/>
  <c r="CA8" i="12"/>
  <c r="BZ8" i="12"/>
  <c r="BV8" i="12"/>
  <c r="BR8" i="12"/>
  <c r="DE8" i="12" s="1"/>
  <c r="BQ8" i="12"/>
  <c r="DD8" i="12" s="1"/>
  <c r="BG8" i="12"/>
  <c r="BE8" i="12"/>
  <c r="BD8" i="12"/>
  <c r="BB8" i="12"/>
  <c r="BA8" i="12"/>
  <c r="AX8" i="12"/>
  <c r="AW8" i="12"/>
  <c r="AU8" i="12"/>
  <c r="AT8" i="12"/>
  <c r="AP8" i="12"/>
  <c r="AO8" i="12"/>
  <c r="AM8" i="12"/>
  <c r="AJ8" i="12"/>
  <c r="T8" i="12"/>
  <c r="S8" i="12"/>
  <c r="R8" i="12"/>
  <c r="BC8" i="12" s="1"/>
  <c r="P8" i="12"/>
  <c r="O8" i="12"/>
  <c r="N8" i="12"/>
  <c r="M8" i="12"/>
  <c r="I8" i="12"/>
  <c r="DF7" i="12"/>
  <c r="CZ7" i="12"/>
  <c r="CX7" i="12"/>
  <c r="CV7" i="12"/>
  <c r="CT7" i="12"/>
  <c r="CQ7" i="12"/>
  <c r="CO7" i="12"/>
  <c r="CR7" i="12" s="1"/>
  <c r="CN7" i="12"/>
  <c r="CK7" i="12"/>
  <c r="CE7" i="12"/>
  <c r="CM7" i="12" s="1"/>
  <c r="CP7" i="12" s="1"/>
  <c r="CC7" i="12"/>
  <c r="CA7" i="12"/>
  <c r="BZ7" i="12"/>
  <c r="BV7" i="12"/>
  <c r="BR7" i="12"/>
  <c r="DE7" i="12" s="1"/>
  <c r="BQ7" i="12"/>
  <c r="DD7" i="12" s="1"/>
  <c r="BL7" i="12"/>
  <c r="BH7" i="12"/>
  <c r="CU7" i="12" s="1"/>
  <c r="BE7" i="12"/>
  <c r="BD7" i="12"/>
  <c r="BB7" i="12"/>
  <c r="BA7" i="12"/>
  <c r="AX7" i="12"/>
  <c r="AW7" i="12"/>
  <c r="AU7" i="12"/>
  <c r="AT7" i="12"/>
  <c r="AP7" i="12"/>
  <c r="AO7" i="12"/>
  <c r="AM7" i="12"/>
  <c r="AJ7" i="12"/>
  <c r="AC7" i="12"/>
  <c r="Z7" i="12"/>
  <c r="W7" i="12"/>
  <c r="T7" i="12"/>
  <c r="S7" i="12"/>
  <c r="R7" i="12"/>
  <c r="AY7" i="12" s="1"/>
  <c r="P7" i="12"/>
  <c r="O7" i="12"/>
  <c r="N7" i="12"/>
  <c r="M7" i="12"/>
  <c r="I7" i="12"/>
  <c r="GY6" i="12"/>
  <c r="GS6" i="12"/>
  <c r="GM6" i="12"/>
  <c r="GJ6" i="12"/>
  <c r="FX6" i="12"/>
  <c r="FW6" i="12"/>
  <c r="FK6" i="12"/>
  <c r="FF6" i="12"/>
  <c r="FE6" i="12"/>
  <c r="EV6" i="12"/>
  <c r="EU6" i="12"/>
  <c r="ET6" i="12"/>
  <c r="EO6" i="12"/>
  <c r="EN6" i="12"/>
  <c r="EM6" i="12"/>
  <c r="EF6" i="12"/>
  <c r="ED6" i="12"/>
  <c r="DZ6" i="12"/>
  <c r="DV6" i="12"/>
  <c r="DR6" i="12"/>
  <c r="DO6" i="12"/>
  <c r="DN6" i="12"/>
  <c r="DL6" i="12"/>
  <c r="DH6" i="12"/>
  <c r="DF6" i="12"/>
  <c r="DA6" i="12"/>
  <c r="CZ6" i="12"/>
  <c r="CY6" i="12"/>
  <c r="CV6" i="12"/>
  <c r="CU6" i="12"/>
  <c r="CT6" i="12"/>
  <c r="CO6" i="12"/>
  <c r="CR6" i="12" s="1"/>
  <c r="CM6" i="12"/>
  <c r="CP6" i="12" s="1"/>
  <c r="CJ6" i="12"/>
  <c r="CC6" i="12"/>
  <c r="CA6" i="12"/>
  <c r="BZ6" i="12"/>
  <c r="BV6" i="12"/>
  <c r="BR6" i="12"/>
  <c r="DE6" i="12" s="1"/>
  <c r="BP6" i="12"/>
  <c r="DC6" i="12" s="1"/>
  <c r="BK6" i="12"/>
  <c r="BE6" i="12"/>
  <c r="BD6" i="12"/>
  <c r="BC6" i="12"/>
  <c r="BB6" i="12"/>
  <c r="BA6" i="12"/>
  <c r="AX6" i="12"/>
  <c r="AW6" i="12"/>
  <c r="AU6" i="12"/>
  <c r="AT6" i="12"/>
  <c r="AP6" i="12"/>
  <c r="AO6" i="12"/>
  <c r="AM6" i="12"/>
  <c r="AJ6" i="12"/>
  <c r="W6" i="12"/>
  <c r="DT6" i="12" s="1"/>
  <c r="T6" i="12"/>
  <c r="S6" i="12"/>
  <c r="R6" i="12"/>
  <c r="AY6" i="12" s="1"/>
  <c r="P6" i="12"/>
  <c r="O6" i="12"/>
  <c r="N6" i="12"/>
  <c r="M6" i="12"/>
  <c r="I6" i="12"/>
  <c r="GG5" i="12"/>
  <c r="GC5" i="12"/>
  <c r="DF5" i="12"/>
  <c r="CZ5" i="12"/>
  <c r="CY5" i="12"/>
  <c r="CX5" i="12"/>
  <c r="CW5" i="12"/>
  <c r="CV5" i="12"/>
  <c r="CU5" i="12"/>
  <c r="CT5" i="12"/>
  <c r="CP5" i="12"/>
  <c r="CO5" i="12"/>
  <c r="CR5" i="12" s="1"/>
  <c r="CN5" i="12"/>
  <c r="CQ5" i="12" s="1"/>
  <c r="CM5" i="12"/>
  <c r="CC5" i="12"/>
  <c r="CA5" i="12"/>
  <c r="BZ5" i="12"/>
  <c r="BV5" i="12"/>
  <c r="BR5" i="12"/>
  <c r="DE5" i="12" s="1"/>
  <c r="BQ5" i="12"/>
  <c r="DD5" i="12" s="1"/>
  <c r="BP5" i="12"/>
  <c r="DC5" i="12" s="1"/>
  <c r="BE5" i="12"/>
  <c r="BD5" i="12"/>
  <c r="BB5" i="12"/>
  <c r="BA5" i="12"/>
  <c r="AX5" i="12"/>
  <c r="AW5" i="12"/>
  <c r="AU5" i="12"/>
  <c r="AT5" i="12"/>
  <c r="AP5" i="12"/>
  <c r="AO5" i="12"/>
  <c r="AM5" i="12"/>
  <c r="AJ5" i="12"/>
  <c r="X5" i="12"/>
  <c r="N5" i="12" s="1"/>
  <c r="W5" i="12"/>
  <c r="T5" i="12"/>
  <c r="S5" i="12"/>
  <c r="R5" i="12"/>
  <c r="BC5" i="12" s="1"/>
  <c r="P5" i="12"/>
  <c r="M5" i="12"/>
  <c r="I5" i="12"/>
  <c r="GY4" i="12"/>
  <c r="GS4" i="12"/>
  <c r="GM4" i="12"/>
  <c r="GG4" i="12"/>
  <c r="FY4" i="12"/>
  <c r="FW4" i="12"/>
  <c r="FU4" i="12"/>
  <c r="FX4" i="12" s="1"/>
  <c r="FK4" i="12"/>
  <c r="FG4" i="12"/>
  <c r="FE4" i="12"/>
  <c r="FB4" i="12"/>
  <c r="FF4" i="12" s="1"/>
  <c r="EV4" i="12"/>
  <c r="EU4" i="12"/>
  <c r="ET4" i="12"/>
  <c r="EO4" i="12"/>
  <c r="EN4" i="12"/>
  <c r="EM4" i="12"/>
  <c r="EF4" i="12"/>
  <c r="EC4" i="12"/>
  <c r="DZ4" i="12"/>
  <c r="DV4" i="12"/>
  <c r="DT4" i="12"/>
  <c r="DR4" i="12"/>
  <c r="DO4" i="12"/>
  <c r="DN4" i="12"/>
  <c r="DM4" i="12"/>
  <c r="DL4" i="12"/>
  <c r="DH4" i="12"/>
  <c r="DF4" i="12"/>
  <c r="DE4" i="12"/>
  <c r="CZ4" i="12"/>
  <c r="CX4" i="12"/>
  <c r="CV4" i="12"/>
  <c r="CU4" i="12"/>
  <c r="CT4" i="12"/>
  <c r="CR4" i="12"/>
  <c r="CQ4" i="12"/>
  <c r="CP4" i="12"/>
  <c r="CC4" i="12"/>
  <c r="CA4" i="12"/>
  <c r="BZ4" i="12"/>
  <c r="BV4" i="12"/>
  <c r="BQ4" i="12"/>
  <c r="DD4" i="12" s="1"/>
  <c r="BP4" i="12"/>
  <c r="DC4" i="12" s="1"/>
  <c r="BE4" i="12"/>
  <c r="BD4" i="12"/>
  <c r="BB4" i="12"/>
  <c r="BA4" i="12"/>
  <c r="AX4" i="12"/>
  <c r="AW4" i="12"/>
  <c r="AU4" i="12"/>
  <c r="AT4" i="12"/>
  <c r="AP4" i="12"/>
  <c r="AO4" i="12"/>
  <c r="AN4" i="12"/>
  <c r="AM4" i="12"/>
  <c r="AJ4" i="12"/>
  <c r="T4" i="12"/>
  <c r="S4" i="12"/>
  <c r="R4" i="12"/>
  <c r="BC4" i="12" s="1"/>
  <c r="O4" i="12"/>
  <c r="N4" i="12"/>
  <c r="M4" i="12"/>
  <c r="I4" i="12"/>
  <c r="GY3" i="12"/>
  <c r="GS3" i="12"/>
  <c r="GM3" i="12"/>
  <c r="GJ3" i="12"/>
  <c r="GC3" i="12"/>
  <c r="FY3" i="12"/>
  <c r="FX3" i="12"/>
  <c r="FW3" i="12"/>
  <c r="FK3" i="12"/>
  <c r="FG3" i="12"/>
  <c r="FF3" i="12"/>
  <c r="FE3" i="12"/>
  <c r="EV3" i="12"/>
  <c r="EU3" i="12"/>
  <c r="ET3" i="12"/>
  <c r="EO3" i="12"/>
  <c r="EN3" i="12"/>
  <c r="EM3" i="12"/>
  <c r="EF3" i="12"/>
  <c r="DZ3" i="12"/>
  <c r="DV3" i="12"/>
  <c r="DT3" i="12"/>
  <c r="DR3" i="12"/>
  <c r="DO3" i="12"/>
  <c r="DN3" i="12"/>
  <c r="DM3" i="12"/>
  <c r="DL3" i="12"/>
  <c r="DH3" i="12"/>
  <c r="DF3" i="12"/>
  <c r="DC3" i="12"/>
  <c r="CZ3" i="12"/>
  <c r="CY3" i="12"/>
  <c r="CX3" i="12"/>
  <c r="CV3" i="12"/>
  <c r="CU3" i="12"/>
  <c r="CT3" i="12"/>
  <c r="CQ3" i="12"/>
  <c r="CO3" i="12"/>
  <c r="CR3" i="12" s="1"/>
  <c r="CN3" i="12"/>
  <c r="CM3" i="12"/>
  <c r="CP3" i="12" s="1"/>
  <c r="CC3" i="12"/>
  <c r="CA3" i="12"/>
  <c r="BZ3" i="12"/>
  <c r="BV3" i="12"/>
  <c r="BR3" i="12"/>
  <c r="DE3" i="12" s="1"/>
  <c r="BQ3" i="12"/>
  <c r="DD3" i="12" s="1"/>
  <c r="BP3" i="12"/>
  <c r="BE3" i="12"/>
  <c r="BD3" i="12"/>
  <c r="BC3" i="12"/>
  <c r="BB3" i="12"/>
  <c r="BA3" i="12"/>
  <c r="AX3" i="12"/>
  <c r="AW3" i="12"/>
  <c r="AU3" i="12"/>
  <c r="AT3" i="12"/>
  <c r="AV3" i="12" s="1"/>
  <c r="AP3" i="12"/>
  <c r="AO3" i="12"/>
  <c r="AM3" i="12"/>
  <c r="AJ3" i="12"/>
  <c r="AC3" i="12"/>
  <c r="T3" i="12"/>
  <c r="S3" i="12"/>
  <c r="R3" i="12"/>
  <c r="AY3" i="12" s="1"/>
  <c r="P3" i="12"/>
  <c r="O3" i="12"/>
  <c r="N3" i="12"/>
  <c r="M3" i="12"/>
  <c r="I3" i="12"/>
  <c r="GS2" i="12"/>
  <c r="GC2" i="12"/>
  <c r="EF2" i="12"/>
  <c r="DZ2" i="12"/>
  <c r="DY2" i="12"/>
  <c r="DX2" i="12"/>
  <c r="DV2" i="12"/>
  <c r="DS2" i="12"/>
  <c r="DR2" i="12"/>
  <c r="DO2" i="12"/>
  <c r="DN2" i="12"/>
  <c r="DM2" i="12"/>
  <c r="DL2" i="12"/>
  <c r="DH2" i="12"/>
  <c r="DF2" i="12"/>
  <c r="CZ2" i="12"/>
  <c r="CY2" i="12"/>
  <c r="CX2" i="12"/>
  <c r="CU2" i="12"/>
  <c r="CO2" i="12"/>
  <c r="CM2" i="12"/>
  <c r="CH2" i="12"/>
  <c r="CE2" i="12"/>
  <c r="CC2" i="12"/>
  <c r="CA2" i="12"/>
  <c r="BZ2" i="12"/>
  <c r="BV2" i="12"/>
  <c r="BR2" i="12"/>
  <c r="BR23" i="12" s="1"/>
  <c r="BI2" i="12"/>
  <c r="BH2" i="12"/>
  <c r="BE2" i="12"/>
  <c r="BD2" i="12"/>
  <c r="BD23" i="12" s="1"/>
  <c r="BC2" i="12"/>
  <c r="BB2" i="12"/>
  <c r="BA2" i="12"/>
  <c r="AX2" i="12"/>
  <c r="AW2" i="12"/>
  <c r="AU2" i="12"/>
  <c r="AT2" i="12"/>
  <c r="AP2" i="12"/>
  <c r="AO2" i="12"/>
  <c r="AM2" i="12"/>
  <c r="AJ2" i="12"/>
  <c r="W2" i="12"/>
  <c r="T2" i="12"/>
  <c r="S2" i="12"/>
  <c r="R2" i="12"/>
  <c r="P2" i="12"/>
  <c r="O2" i="12"/>
  <c r="N2" i="12"/>
  <c r="M2" i="12"/>
  <c r="I2" i="12"/>
  <c r="BH23" i="12" l="1"/>
  <c r="AY4" i="12"/>
  <c r="O5" i="12"/>
  <c r="AY5" i="12"/>
  <c r="AN10" i="12"/>
  <c r="CM10" i="12"/>
  <c r="CP10" i="12" s="1"/>
  <c r="AN12" i="12"/>
  <c r="AY14" i="12"/>
  <c r="BP16" i="12"/>
  <c r="AY8" i="12"/>
  <c r="O23" i="12"/>
  <c r="AN5" i="12"/>
  <c r="AV7" i="12"/>
  <c r="AV11" i="12"/>
  <c r="AV13" i="12"/>
  <c r="AY13" i="12"/>
  <c r="AV15" i="12"/>
  <c r="BC7" i="12"/>
  <c r="AN8" i="12"/>
  <c r="AY10" i="12"/>
  <c r="AY12" i="12"/>
  <c r="AV4" i="12"/>
  <c r="AV5" i="12"/>
  <c r="AV6" i="12"/>
  <c r="AV8" i="12"/>
  <c r="AV14" i="12"/>
  <c r="I26" i="12"/>
  <c r="I27" i="12"/>
  <c r="I25" i="12"/>
  <c r="I24" i="12"/>
  <c r="N27" i="12"/>
  <c r="N26" i="12"/>
  <c r="N23" i="12"/>
  <c r="N25" i="12"/>
  <c r="N24" i="12"/>
  <c r="P27" i="12"/>
  <c r="P26" i="12"/>
  <c r="P23" i="12"/>
  <c r="P25" i="12"/>
  <c r="P24" i="12"/>
  <c r="S26" i="12"/>
  <c r="S27" i="12"/>
  <c r="S25" i="12"/>
  <c r="S24" i="12"/>
  <c r="W26" i="12"/>
  <c r="W27" i="12"/>
  <c r="W25" i="12"/>
  <c r="W24" i="12"/>
  <c r="AM27" i="12"/>
  <c r="AM26" i="12"/>
  <c r="AM23" i="12"/>
  <c r="AM25" i="12"/>
  <c r="AM24" i="12"/>
  <c r="AO27" i="12"/>
  <c r="AO26" i="12"/>
  <c r="AO23" i="12"/>
  <c r="AO25" i="12"/>
  <c r="AO24" i="12"/>
  <c r="AT26" i="12"/>
  <c r="AT27" i="12"/>
  <c r="AT25" i="12"/>
  <c r="AT24" i="12"/>
  <c r="AV2" i="12"/>
  <c r="AX26" i="12"/>
  <c r="AX27" i="12"/>
  <c r="AX25" i="12"/>
  <c r="AX24" i="12"/>
  <c r="BA27" i="12"/>
  <c r="BA26" i="12"/>
  <c r="BA23" i="12"/>
  <c r="BA25" i="12"/>
  <c r="BA24" i="12"/>
  <c r="BE27" i="12"/>
  <c r="BE26" i="12"/>
  <c r="BE23" i="12"/>
  <c r="BE25" i="12"/>
  <c r="BE24" i="12"/>
  <c r="BI27" i="12"/>
  <c r="BI26" i="12"/>
  <c r="BI23" i="12"/>
  <c r="BI25" i="12"/>
  <c r="BI24" i="12"/>
  <c r="BQ2" i="12"/>
  <c r="BV26" i="12"/>
  <c r="BV27" i="12"/>
  <c r="BV25" i="12"/>
  <c r="BV24" i="12"/>
  <c r="CA26" i="12"/>
  <c r="CA27" i="12"/>
  <c r="CA25" i="12"/>
  <c r="CA24" i="12"/>
  <c r="CE26" i="12"/>
  <c r="CE27" i="12"/>
  <c r="CE25" i="12"/>
  <c r="CE24" i="12"/>
  <c r="CE23" i="12"/>
  <c r="CO26" i="12"/>
  <c r="CO27" i="12"/>
  <c r="CO25" i="12"/>
  <c r="CO24" i="12"/>
  <c r="CO23" i="12"/>
  <c r="DL27" i="12"/>
  <c r="DL25" i="12"/>
  <c r="DL26" i="12"/>
  <c r="DL24" i="12"/>
  <c r="DL23" i="12"/>
  <c r="DR27" i="12"/>
  <c r="DR25" i="12"/>
  <c r="DR26" i="12"/>
  <c r="DR24" i="12"/>
  <c r="DR23" i="12"/>
  <c r="DA26" i="12"/>
  <c r="DA27" i="12"/>
  <c r="DA25" i="12"/>
  <c r="DA24" i="12"/>
  <c r="DA23" i="12"/>
  <c r="BL26" i="12"/>
  <c r="BL27" i="12"/>
  <c r="BL25" i="12"/>
  <c r="BL24" i="12"/>
  <c r="CY7" i="12"/>
  <c r="BG27" i="12"/>
  <c r="BG26" i="12"/>
  <c r="BG23" i="12"/>
  <c r="BG25" i="12"/>
  <c r="BG24" i="12"/>
  <c r="CD27" i="12"/>
  <c r="CD26" i="12"/>
  <c r="CD24" i="12"/>
  <c r="CD23" i="12"/>
  <c r="CD25" i="12"/>
  <c r="BC9" i="12"/>
  <c r="BM27" i="12"/>
  <c r="BM26" i="12"/>
  <c r="BM23" i="12"/>
  <c r="BM25" i="12"/>
  <c r="BM24" i="12"/>
  <c r="BP10" i="12"/>
  <c r="DC10" i="12" s="1"/>
  <c r="BC11" i="12"/>
  <c r="BC15" i="12"/>
  <c r="AY16" i="12"/>
  <c r="AN16" i="12"/>
  <c r="BC16" i="12"/>
  <c r="S23" i="12"/>
  <c r="BL23" i="12"/>
  <c r="BV23" i="12"/>
  <c r="CU26" i="12"/>
  <c r="CU27" i="12"/>
  <c r="CU25" i="12"/>
  <c r="CU24" i="12"/>
  <c r="CU23" i="12"/>
  <c r="DF27" i="12"/>
  <c r="DF25" i="12"/>
  <c r="DF26" i="12"/>
  <c r="DF24" i="12"/>
  <c r="DF23" i="12"/>
  <c r="DN27" i="12"/>
  <c r="DN25" i="12"/>
  <c r="DN26" i="12"/>
  <c r="DN24" i="12"/>
  <c r="DN23" i="12"/>
  <c r="DT2" i="12"/>
  <c r="AC26" i="12"/>
  <c r="AC27" i="12"/>
  <c r="AC25" i="12"/>
  <c r="AC24" i="12"/>
  <c r="CW26" i="12"/>
  <c r="CW27" i="12"/>
  <c r="CW25" i="12"/>
  <c r="CW24" i="12"/>
  <c r="CW23" i="12"/>
  <c r="M26" i="12"/>
  <c r="M27" i="12"/>
  <c r="M25" i="12"/>
  <c r="M24" i="12"/>
  <c r="O26" i="12"/>
  <c r="O27" i="12"/>
  <c r="O25" i="12"/>
  <c r="O24" i="12"/>
  <c r="R27" i="12"/>
  <c r="R26" i="12"/>
  <c r="R23" i="12"/>
  <c r="R25" i="12"/>
  <c r="R24" i="12"/>
  <c r="T27" i="12"/>
  <c r="T26" i="12"/>
  <c r="T23" i="12"/>
  <c r="T25" i="12"/>
  <c r="T24" i="12"/>
  <c r="AJ26" i="12"/>
  <c r="AJ27" i="12"/>
  <c r="AJ25" i="12"/>
  <c r="AJ24" i="12"/>
  <c r="AN2" i="12"/>
  <c r="AP26" i="12"/>
  <c r="AP27" i="12"/>
  <c r="AP25" i="12"/>
  <c r="AP24" i="12"/>
  <c r="AU27" i="12"/>
  <c r="AU26" i="12"/>
  <c r="AU23" i="12"/>
  <c r="AU25" i="12"/>
  <c r="AU24" i="12"/>
  <c r="AW27" i="12"/>
  <c r="AW26" i="12"/>
  <c r="AW23" i="12"/>
  <c r="AW25" i="12"/>
  <c r="AW24" i="12"/>
  <c r="AY2" i="12"/>
  <c r="BB26" i="12"/>
  <c r="BB27" i="12"/>
  <c r="BB25" i="12"/>
  <c r="BB24" i="12"/>
  <c r="BD26" i="12"/>
  <c r="BD27" i="12"/>
  <c r="BD25" i="12"/>
  <c r="BD24" i="12"/>
  <c r="BH26" i="12"/>
  <c r="BH27" i="12"/>
  <c r="BH25" i="12"/>
  <c r="BH24" i="12"/>
  <c r="BP2" i="12"/>
  <c r="BR26" i="12"/>
  <c r="BR27" i="12"/>
  <c r="BR25" i="12"/>
  <c r="BR24" i="12"/>
  <c r="BZ27" i="12"/>
  <c r="BZ26" i="12"/>
  <c r="BZ24" i="12"/>
  <c r="BZ23" i="12"/>
  <c r="BZ25" i="12"/>
  <c r="CC26" i="12"/>
  <c r="CC27" i="12"/>
  <c r="CC25" i="12"/>
  <c r="CC24" i="12"/>
  <c r="CC23" i="12"/>
  <c r="CH27" i="12"/>
  <c r="CH26" i="12"/>
  <c r="CH24" i="12"/>
  <c r="CH23" i="12"/>
  <c r="CH25" i="12"/>
  <c r="CN2" i="12"/>
  <c r="CP2" i="12"/>
  <c r="CR2" i="12"/>
  <c r="CV2" i="12"/>
  <c r="CY26" i="12"/>
  <c r="CY27" i="12"/>
  <c r="CY25" i="12"/>
  <c r="CY24" i="12"/>
  <c r="CY23" i="12"/>
  <c r="DE2" i="12"/>
  <c r="DH27" i="12"/>
  <c r="DH25" i="12"/>
  <c r="DH26" i="12"/>
  <c r="DH24" i="12"/>
  <c r="DH23" i="12"/>
  <c r="DM26" i="12"/>
  <c r="DM27" i="12"/>
  <c r="DM25" i="12"/>
  <c r="DM24" i="12"/>
  <c r="DM23" i="12"/>
  <c r="DO26" i="12"/>
  <c r="DO27" i="12"/>
  <c r="DO25" i="12"/>
  <c r="DO24" i="12"/>
  <c r="DO23" i="12"/>
  <c r="DS26" i="12"/>
  <c r="DS27" i="12"/>
  <c r="DS25" i="12"/>
  <c r="DS24" i="12"/>
  <c r="DS23" i="12"/>
  <c r="DV27" i="12"/>
  <c r="DV25" i="12"/>
  <c r="DV26" i="12"/>
  <c r="DV24" i="12"/>
  <c r="DV23" i="12"/>
  <c r="GS27" i="12"/>
  <c r="GS25" i="12"/>
  <c r="GS26" i="12"/>
  <c r="GS24" i="12"/>
  <c r="GS23" i="12"/>
  <c r="AN3" i="12"/>
  <c r="ED3" i="12"/>
  <c r="X27" i="12"/>
  <c r="X26" i="12"/>
  <c r="X23" i="12"/>
  <c r="X25" i="12"/>
  <c r="X24" i="12"/>
  <c r="AN6" i="12"/>
  <c r="BK27" i="12"/>
  <c r="BK26" i="12"/>
  <c r="BK23" i="12"/>
  <c r="BK25" i="12"/>
  <c r="BK24" i="12"/>
  <c r="BQ6" i="12"/>
  <c r="DD6" i="12" s="1"/>
  <c r="CJ27" i="12"/>
  <c r="CJ26" i="12"/>
  <c r="CJ24" i="12"/>
  <c r="CJ23" i="12"/>
  <c r="CJ25" i="12"/>
  <c r="CN6" i="12"/>
  <c r="CQ6" i="12" s="1"/>
  <c r="CX6" i="12"/>
  <c r="CX27" i="12" s="1"/>
  <c r="Z27" i="12"/>
  <c r="Z26" i="12"/>
  <c r="Z23" i="12"/>
  <c r="Z25" i="12"/>
  <c r="Z24" i="12"/>
  <c r="AN7" i="12"/>
  <c r="BP7" i="12"/>
  <c r="DC7" i="12" s="1"/>
  <c r="CK26" i="12"/>
  <c r="CK27" i="12"/>
  <c r="CK25" i="12"/>
  <c r="CK24" i="12"/>
  <c r="CK23" i="12"/>
  <c r="BP8" i="12"/>
  <c r="DC8" i="12" s="1"/>
  <c r="CM8" i="12"/>
  <c r="CP8" i="12" s="1"/>
  <c r="CT8" i="12"/>
  <c r="CT27" i="12" s="1"/>
  <c r="AN9" i="12"/>
  <c r="BP9" i="12"/>
  <c r="DC9" i="12" s="1"/>
  <c r="CL27" i="12"/>
  <c r="CL26" i="12"/>
  <c r="CL24" i="12"/>
  <c r="CL23" i="12"/>
  <c r="CL25" i="12"/>
  <c r="CZ9" i="12"/>
  <c r="CZ27" i="12" s="1"/>
  <c r="AN11" i="12"/>
  <c r="DB27" i="12"/>
  <c r="DB26" i="12"/>
  <c r="DB24" i="12"/>
  <c r="DB23" i="12"/>
  <c r="DB25" i="12"/>
  <c r="AN15" i="12"/>
  <c r="I23" i="12"/>
  <c r="M23" i="12"/>
  <c r="W23" i="12"/>
  <c r="AC23" i="12"/>
  <c r="AJ23" i="12"/>
  <c r="AP23" i="12"/>
  <c r="AT23" i="12"/>
  <c r="AX23" i="12"/>
  <c r="BB23" i="12"/>
  <c r="CA23" i="12"/>
  <c r="HT23" i="4"/>
  <c r="HU23" i="4"/>
  <c r="HV23" i="4"/>
  <c r="HW23" i="4"/>
  <c r="HT24" i="4"/>
  <c r="HU24" i="4"/>
  <c r="HV24" i="4"/>
  <c r="HW24" i="4"/>
  <c r="HT25" i="4"/>
  <c r="HU25" i="4"/>
  <c r="HV25" i="4"/>
  <c r="HW25" i="4"/>
  <c r="HT26" i="4"/>
  <c r="HU26" i="4"/>
  <c r="HV26" i="4"/>
  <c r="HW26" i="4"/>
  <c r="HT27" i="4"/>
  <c r="HU27" i="4"/>
  <c r="HV27" i="4"/>
  <c r="HW27" i="4"/>
  <c r="HS27" i="4"/>
  <c r="HS26" i="4"/>
  <c r="HS25" i="4"/>
  <c r="HS24" i="4"/>
  <c r="HS23" i="4"/>
  <c r="HX16" i="4"/>
  <c r="BC27" i="12" l="1"/>
  <c r="CX23" i="12"/>
  <c r="DE26" i="12"/>
  <c r="DE27" i="12"/>
  <c r="DE25" i="12"/>
  <c r="DE24" i="12"/>
  <c r="DE23" i="12"/>
  <c r="CV27" i="12"/>
  <c r="CV26" i="12"/>
  <c r="CV24" i="12"/>
  <c r="CV23" i="12"/>
  <c r="CV25" i="12"/>
  <c r="CP27" i="12"/>
  <c r="CP26" i="12"/>
  <c r="CP24" i="12"/>
  <c r="CP23" i="12"/>
  <c r="CP25" i="12"/>
  <c r="AY27" i="12"/>
  <c r="AY26" i="12"/>
  <c r="AY23" i="12"/>
  <c r="AY25" i="12"/>
  <c r="AY24" i="12"/>
  <c r="CT23" i="12"/>
  <c r="CT26" i="12"/>
  <c r="DT27" i="12"/>
  <c r="DT25" i="12"/>
  <c r="DT26" i="12"/>
  <c r="DT24" i="12"/>
  <c r="DT23" i="12"/>
  <c r="CZ23" i="12"/>
  <c r="CZ26" i="12"/>
  <c r="CM24" i="12"/>
  <c r="CM27" i="12"/>
  <c r="CX26" i="12"/>
  <c r="BQ27" i="12"/>
  <c r="BQ26" i="12"/>
  <c r="BQ24" i="12"/>
  <c r="BQ23" i="12"/>
  <c r="BQ25" i="12"/>
  <c r="DD2" i="12"/>
  <c r="BC25" i="12"/>
  <c r="BC26" i="12"/>
  <c r="CR27" i="12"/>
  <c r="CR26" i="12"/>
  <c r="CR24" i="12"/>
  <c r="CR23" i="12"/>
  <c r="CR25" i="12"/>
  <c r="CN27" i="12"/>
  <c r="CN26" i="12"/>
  <c r="CN24" i="12"/>
  <c r="CN23" i="12"/>
  <c r="CN25" i="12"/>
  <c r="CQ2" i="12"/>
  <c r="BP26" i="12"/>
  <c r="BP27" i="12"/>
  <c r="BP25" i="12"/>
  <c r="BP24" i="12"/>
  <c r="BP23" i="12"/>
  <c r="DC2" i="12"/>
  <c r="AN26" i="12"/>
  <c r="AN27" i="12"/>
  <c r="AN25" i="12"/>
  <c r="AN24" i="12"/>
  <c r="AN23" i="12"/>
  <c r="CT25" i="12"/>
  <c r="CT24" i="12"/>
  <c r="CZ25" i="12"/>
  <c r="CZ24" i="12"/>
  <c r="CM23" i="12"/>
  <c r="CM25" i="12"/>
  <c r="CM26" i="12"/>
  <c r="CX25" i="12"/>
  <c r="CX24" i="12"/>
  <c r="BC24" i="12"/>
  <c r="BC23" i="12"/>
  <c r="AV26" i="12"/>
  <c r="AV27" i="12"/>
  <c r="AV25" i="12"/>
  <c r="AV24" i="12"/>
  <c r="AV23" i="12"/>
  <c r="ID8" i="4"/>
  <c r="ID6" i="4"/>
  <c r="ID4" i="4"/>
  <c r="ID3" i="4"/>
  <c r="DC26" i="12" l="1"/>
  <c r="DC27" i="12"/>
  <c r="DC25" i="12"/>
  <c r="DC24" i="12"/>
  <c r="DC23" i="12"/>
  <c r="CQ26" i="12"/>
  <c r="CQ27" i="12"/>
  <c r="CQ25" i="12"/>
  <c r="CQ24" i="12"/>
  <c r="CQ23" i="12"/>
  <c r="DD27" i="12"/>
  <c r="DD25" i="12"/>
  <c r="DD26" i="12"/>
  <c r="DD24" i="12"/>
  <c r="DD23" i="12"/>
  <c r="HX3" i="4"/>
  <c r="HX4" i="4"/>
  <c r="HX6" i="4"/>
  <c r="HX8" i="4"/>
  <c r="HX9" i="4"/>
  <c r="HX11" i="4"/>
  <c r="HX12" i="4"/>
  <c r="HX14" i="4"/>
  <c r="HX15" i="4"/>
  <c r="HX2" i="4"/>
  <c r="HL16" i="4"/>
  <c r="CI16" i="4"/>
  <c r="CD16" i="4"/>
  <c r="EC16" i="4"/>
  <c r="DZ16" i="4"/>
  <c r="BQ16" i="4"/>
  <c r="DY16" i="4" s="1"/>
  <c r="BG16" i="4"/>
  <c r="BH16" i="4"/>
  <c r="BN16" i="4"/>
  <c r="BO16" i="4"/>
  <c r="AZ16" i="4"/>
  <c r="BB16" i="4"/>
  <c r="BC16" i="4"/>
  <c r="AY16" i="4"/>
  <c r="AQ16" i="4"/>
  <c r="AS16" i="4"/>
  <c r="AT16" i="4"/>
  <c r="HH13" i="4"/>
  <c r="EA13" i="4"/>
  <c r="DL6" i="4"/>
  <c r="DL13" i="4"/>
  <c r="DM13" i="4"/>
  <c r="CD13" i="4"/>
  <c r="CQ13" i="4"/>
  <c r="AQ13" i="4"/>
  <c r="AS13" i="4"/>
  <c r="AT13" i="4"/>
  <c r="BG13" i="4"/>
  <c r="BH13" i="4"/>
  <c r="CZ13" i="4"/>
  <c r="EK13" i="4"/>
  <c r="DO13" i="4"/>
  <c r="CA13" i="4"/>
  <c r="DZ13" i="4"/>
  <c r="CI13" i="4"/>
  <c r="CK13" i="4" s="1"/>
  <c r="DY13" i="4"/>
  <c r="EC13" i="4"/>
  <c r="EE13" i="4"/>
  <c r="ED13" i="4"/>
  <c r="CV13" i="4"/>
  <c r="CW13" i="4"/>
  <c r="AY13" i="4"/>
  <c r="BC13" i="4"/>
  <c r="AZ13" i="4"/>
  <c r="BB13" i="4"/>
  <c r="M9" i="4"/>
  <c r="N9" i="4"/>
  <c r="ID9" i="4" s="1"/>
  <c r="EZ27" i="4"/>
  <c r="EZ26" i="4"/>
  <c r="EZ25" i="4"/>
  <c r="EZ24" i="4"/>
  <c r="EZ23" i="4"/>
  <c r="EV23" i="4"/>
  <c r="EV24" i="4"/>
  <c r="EV25" i="4"/>
  <c r="EV26" i="4"/>
  <c r="EV27" i="4"/>
  <c r="EU23" i="4"/>
  <c r="EU24" i="4"/>
  <c r="EU25" i="4"/>
  <c r="EU26" i="4"/>
  <c r="EU27" i="4"/>
  <c r="EN23" i="4"/>
  <c r="EO23" i="4"/>
  <c r="EP23" i="4"/>
  <c r="EN24" i="4"/>
  <c r="EO24" i="4"/>
  <c r="EP24" i="4"/>
  <c r="EN25" i="4"/>
  <c r="EO25" i="4"/>
  <c r="EP25" i="4"/>
  <c r="EN26" i="4"/>
  <c r="EO26" i="4"/>
  <c r="EP26" i="4"/>
  <c r="EN27" i="4"/>
  <c r="EO27" i="4"/>
  <c r="EP27" i="4"/>
  <c r="EL23" i="4"/>
  <c r="EL24" i="4"/>
  <c r="EL25" i="4"/>
  <c r="EL26" i="4"/>
  <c r="EL27" i="4"/>
  <c r="DV27" i="4"/>
  <c r="DV26" i="4"/>
  <c r="DV25" i="4"/>
  <c r="DV24" i="4"/>
  <c r="DV23" i="4"/>
  <c r="DG23" i="4"/>
  <c r="DG24" i="4"/>
  <c r="DG25" i="4"/>
  <c r="DG26" i="4"/>
  <c r="DG27" i="4"/>
  <c r="DE27" i="4"/>
  <c r="DE26" i="4"/>
  <c r="DE25" i="4"/>
  <c r="DE24" i="4"/>
  <c r="DE23" i="4"/>
  <c r="DD23" i="4"/>
  <c r="DD24" i="4"/>
  <c r="DD25" i="4"/>
  <c r="DD26" i="4"/>
  <c r="DD27" i="4"/>
  <c r="CY27" i="4"/>
  <c r="CY26" i="4"/>
  <c r="CY25" i="4"/>
  <c r="CY24" i="4"/>
  <c r="CY23" i="4"/>
  <c r="CT23" i="4"/>
  <c r="CT24" i="4"/>
  <c r="CT25" i="4"/>
  <c r="CT26" i="4"/>
  <c r="CT27" i="4"/>
  <c r="CS27" i="4"/>
  <c r="CS26" i="4"/>
  <c r="CS25" i="4"/>
  <c r="CS24" i="4"/>
  <c r="CS23" i="4"/>
  <c r="CO23" i="4"/>
  <c r="CP23" i="4"/>
  <c r="CO24" i="4"/>
  <c r="CP24" i="4"/>
  <c r="CO25" i="4"/>
  <c r="CP25" i="4"/>
  <c r="CO26" i="4"/>
  <c r="CP26" i="4"/>
  <c r="CO27" i="4"/>
  <c r="CP27" i="4"/>
  <c r="BY23" i="4"/>
  <c r="BZ23" i="4"/>
  <c r="CL23" i="4"/>
  <c r="BY24" i="4"/>
  <c r="CL24" i="4"/>
  <c r="BY25" i="4"/>
  <c r="BZ25" i="4"/>
  <c r="CL25" i="4"/>
  <c r="BY26" i="4"/>
  <c r="BZ26" i="4"/>
  <c r="CL26" i="4"/>
  <c r="BY27" i="4"/>
  <c r="BZ27" i="4"/>
  <c r="CL27" i="4"/>
  <c r="BT23" i="4"/>
  <c r="BT24" i="4"/>
  <c r="BT25" i="4"/>
  <c r="BT26" i="4"/>
  <c r="BT27" i="4"/>
  <c r="BP23" i="4"/>
  <c r="BP24" i="4"/>
  <c r="BP25" i="4"/>
  <c r="BP26" i="4"/>
  <c r="BP27" i="4"/>
  <c r="BE27" i="4"/>
  <c r="BE26" i="4"/>
  <c r="BE25" i="4"/>
  <c r="BE24" i="4"/>
  <c r="BE23" i="4"/>
  <c r="AW23" i="4"/>
  <c r="AW24" i="4"/>
  <c r="AW25" i="4"/>
  <c r="AW26" i="4"/>
  <c r="AW27" i="4"/>
  <c r="AV27" i="4"/>
  <c r="AV26" i="4"/>
  <c r="AV25" i="4"/>
  <c r="AV24" i="4"/>
  <c r="AV23" i="4"/>
  <c r="AU23" i="4"/>
  <c r="AU24" i="4"/>
  <c r="AU25" i="4"/>
  <c r="AU26" i="4"/>
  <c r="AU27" i="4"/>
  <c r="AP23" i="4"/>
  <c r="AP24" i="4"/>
  <c r="AP25" i="4"/>
  <c r="AP26" i="4"/>
  <c r="AP27" i="4"/>
  <c r="AO27" i="4"/>
  <c r="AO26" i="4"/>
  <c r="AO25" i="4"/>
  <c r="AO24" i="4"/>
  <c r="AO23" i="4"/>
  <c r="AL23" i="4"/>
  <c r="AM23" i="4"/>
  <c r="AL24" i="4"/>
  <c r="AM24" i="4"/>
  <c r="AL25" i="4"/>
  <c r="AM25" i="4"/>
  <c r="AL26" i="4"/>
  <c r="AM26" i="4"/>
  <c r="AL27" i="4"/>
  <c r="AM27" i="4"/>
  <c r="AK23" i="4"/>
  <c r="AK24" i="4"/>
  <c r="AK25" i="4"/>
  <c r="AK26" i="4"/>
  <c r="AK27" i="4"/>
  <c r="AJ27" i="4"/>
  <c r="AJ26" i="4"/>
  <c r="AJ25" i="4"/>
  <c r="AJ24" i="4"/>
  <c r="AJ23" i="4"/>
  <c r="AH27" i="4"/>
  <c r="AH26" i="4"/>
  <c r="AH25" i="4"/>
  <c r="AH24" i="4"/>
  <c r="AH23" i="4"/>
  <c r="AF27" i="4"/>
  <c r="AF26" i="4"/>
  <c r="AF25" i="4"/>
  <c r="AF24" i="4"/>
  <c r="AF23" i="4"/>
  <c r="AD27" i="4"/>
  <c r="AD26" i="4"/>
  <c r="AD25" i="4"/>
  <c r="AD24" i="4"/>
  <c r="AD23" i="4"/>
  <c r="AB27" i="4"/>
  <c r="AB26" i="4"/>
  <c r="AB25" i="4"/>
  <c r="AB24" i="4"/>
  <c r="AB23" i="4"/>
  <c r="X23" i="4"/>
  <c r="X24" i="4"/>
  <c r="X25" i="4"/>
  <c r="X26" i="4"/>
  <c r="X27" i="4"/>
  <c r="W23" i="4"/>
  <c r="W24" i="4"/>
  <c r="W25" i="4"/>
  <c r="W26" i="4"/>
  <c r="W27" i="4"/>
  <c r="S27" i="4"/>
  <c r="S26" i="4"/>
  <c r="S25" i="4"/>
  <c r="S24" i="4"/>
  <c r="S23" i="4"/>
  <c r="J23" i="4"/>
  <c r="K23" i="4"/>
  <c r="L23" i="4"/>
  <c r="J24" i="4"/>
  <c r="K24" i="4"/>
  <c r="L24" i="4"/>
  <c r="J25" i="4"/>
  <c r="K25" i="4"/>
  <c r="L25" i="4"/>
  <c r="J26" i="4"/>
  <c r="K26" i="4"/>
  <c r="L26" i="4"/>
  <c r="J27" i="4"/>
  <c r="K27" i="4"/>
  <c r="L27" i="4"/>
  <c r="H23" i="4"/>
  <c r="H24" i="4"/>
  <c r="H25" i="4"/>
  <c r="H26" i="4"/>
  <c r="H27" i="4"/>
  <c r="G23" i="4"/>
  <c r="G24" i="4"/>
  <c r="G25" i="4"/>
  <c r="G26" i="4"/>
  <c r="G27" i="4"/>
  <c r="F27" i="4"/>
  <c r="F26" i="4"/>
  <c r="F25" i="4"/>
  <c r="F24" i="4"/>
  <c r="F23" i="4"/>
  <c r="HL15" i="4"/>
  <c r="HH15" i="4"/>
  <c r="HL10" i="4"/>
  <c r="HH10" i="4"/>
  <c r="M12" i="4"/>
  <c r="M13" i="4"/>
  <c r="M14" i="4"/>
  <c r="M15" i="4"/>
  <c r="M16" i="4"/>
  <c r="P16" i="4"/>
  <c r="O16" i="4"/>
  <c r="BI16" i="4"/>
  <c r="U16" i="4"/>
  <c r="V16" i="4"/>
  <c r="N16" i="4"/>
  <c r="AN16" i="4"/>
  <c r="I16" i="4"/>
  <c r="CE13" i="4" l="1"/>
  <c r="CJ16" i="4"/>
  <c r="CK16" i="4"/>
  <c r="EI13" i="4"/>
  <c r="CF13" i="4"/>
  <c r="CG13" i="4"/>
  <c r="EI16" i="4"/>
  <c r="CG16" i="4"/>
  <c r="CF16" i="4"/>
  <c r="CC13" i="4"/>
  <c r="CB13" i="4"/>
  <c r="EJ13" i="4"/>
  <c r="CJ13" i="4"/>
  <c r="DR13" i="4"/>
  <c r="DP13" i="4"/>
  <c r="DT13" i="4"/>
  <c r="EH13" i="4"/>
  <c r="CH13" i="4"/>
  <c r="BA13" i="4"/>
  <c r="HX24" i="4"/>
  <c r="HX25" i="4"/>
  <c r="HX23" i="4"/>
  <c r="HX27" i="4"/>
  <c r="HX26" i="4"/>
  <c r="AR16" i="4"/>
  <c r="BA16" i="4"/>
  <c r="BD16" i="4"/>
  <c r="CA16" i="4"/>
  <c r="CE16" i="4" s="1"/>
  <c r="HO8" i="4"/>
  <c r="CB16" i="4" l="1"/>
  <c r="CC16" i="4"/>
  <c r="CH16" i="4" s="1"/>
  <c r="CD15" i="4"/>
  <c r="EF15" i="4"/>
  <c r="EA15" i="4"/>
  <c r="DM15" i="4"/>
  <c r="EK15" i="4"/>
  <c r="DO15" i="4"/>
  <c r="CI15" i="4"/>
  <c r="CK15" i="4" s="1"/>
  <c r="DB15" i="4"/>
  <c r="DL15" i="4" s="1"/>
  <c r="BQ15" i="4"/>
  <c r="CA15" i="4" s="1"/>
  <c r="CE15" i="4" s="1"/>
  <c r="EC15" i="4"/>
  <c r="EE15" i="4"/>
  <c r="ED15" i="4"/>
  <c r="DZ15" i="4"/>
  <c r="AQ15" i="4"/>
  <c r="AS15" i="4"/>
  <c r="AT15" i="4"/>
  <c r="BG15" i="4"/>
  <c r="BH15" i="4"/>
  <c r="BN15" i="4"/>
  <c r="BO15" i="4"/>
  <c r="CZ15" i="4"/>
  <c r="CQ15" i="4"/>
  <c r="CQ14" i="4"/>
  <c r="CW15" i="4"/>
  <c r="CV15" i="4"/>
  <c r="EK14" i="4"/>
  <c r="EE14" i="4"/>
  <c r="ED14" i="4"/>
  <c r="EC14" i="4"/>
  <c r="DZ14" i="4"/>
  <c r="DY14" i="4"/>
  <c r="DM14" i="4"/>
  <c r="DL14" i="4"/>
  <c r="CD14" i="4"/>
  <c r="CA14" i="4"/>
  <c r="DO14" i="4"/>
  <c r="CI14" i="4"/>
  <c r="CK14" i="4" s="1"/>
  <c r="CZ14" i="4"/>
  <c r="CW14" i="4"/>
  <c r="CV14" i="4"/>
  <c r="BN13" i="4"/>
  <c r="BO13" i="4"/>
  <c r="BN14" i="4"/>
  <c r="BO14" i="4"/>
  <c r="BG14" i="4"/>
  <c r="BH14" i="4"/>
  <c r="AY14" i="4"/>
  <c r="AZ14" i="4"/>
  <c r="BB14" i="4"/>
  <c r="BC14" i="4"/>
  <c r="AY15" i="4"/>
  <c r="AZ15" i="4"/>
  <c r="BB15" i="4"/>
  <c r="BC15" i="4"/>
  <c r="AT14" i="4"/>
  <c r="AS14" i="4"/>
  <c r="AQ14" i="4"/>
  <c r="HH14" i="4"/>
  <c r="V15" i="4"/>
  <c r="P15" i="4"/>
  <c r="AN15" i="4"/>
  <c r="N15" i="4"/>
  <c r="ID15" i="4" s="1"/>
  <c r="O15" i="4"/>
  <c r="AR15" i="4"/>
  <c r="U15" i="4"/>
  <c r="CX15" i="4" l="1"/>
  <c r="DX15" i="4"/>
  <c r="DA15" i="4"/>
  <c r="CE14" i="4"/>
  <c r="CB15" i="4"/>
  <c r="CC15" i="4"/>
  <c r="EI15" i="4"/>
  <c r="CF15" i="4"/>
  <c r="CG15" i="4"/>
  <c r="CB14" i="4"/>
  <c r="CC14" i="4"/>
  <c r="EI14" i="4"/>
  <c r="CF14" i="4"/>
  <c r="CG14" i="4"/>
  <c r="EJ15" i="4"/>
  <c r="CJ15" i="4"/>
  <c r="EJ14" i="4"/>
  <c r="CJ14" i="4"/>
  <c r="DP15" i="4"/>
  <c r="DQ15" i="4"/>
  <c r="DR15" i="4"/>
  <c r="DS15" i="4"/>
  <c r="DT14" i="4"/>
  <c r="DT15" i="4"/>
  <c r="DU15" i="4"/>
  <c r="DR14" i="4"/>
  <c r="DP14" i="4"/>
  <c r="EH14" i="4"/>
  <c r="EH15" i="4"/>
  <c r="CH15" i="4"/>
  <c r="BI15" i="4"/>
  <c r="BD15" i="4"/>
  <c r="BA15" i="4"/>
  <c r="BA14" i="4"/>
  <c r="DY15" i="4"/>
  <c r="I15" i="4"/>
  <c r="P12" i="4"/>
  <c r="P14" i="4"/>
  <c r="V14" i="4"/>
  <c r="I14" i="4"/>
  <c r="AN14" i="4"/>
  <c r="N14" i="4"/>
  <c r="O14" i="4"/>
  <c r="U14" i="4"/>
  <c r="AN13" i="4"/>
  <c r="V13" i="4"/>
  <c r="O13" i="4"/>
  <c r="U13" i="4"/>
  <c r="N13" i="4"/>
  <c r="I13" i="4"/>
  <c r="CH14" i="4" l="1"/>
  <c r="DA13" i="4"/>
  <c r="DX13" i="4"/>
  <c r="CX14" i="4"/>
  <c r="DX14" i="4"/>
  <c r="DA14" i="4"/>
  <c r="DQ14" i="4"/>
  <c r="CX13" i="4"/>
  <c r="DS13" i="4"/>
  <c r="DU13" i="4"/>
  <c r="DQ13" i="4"/>
  <c r="DS14" i="4"/>
  <c r="DU14" i="4"/>
  <c r="BI13" i="4"/>
  <c r="BD13" i="4"/>
  <c r="AR13" i="4"/>
  <c r="BI14" i="4"/>
  <c r="BD14" i="4"/>
  <c r="AR14" i="4"/>
  <c r="EB12" i="4"/>
  <c r="DY12" i="4"/>
  <c r="DM12" i="4"/>
  <c r="DL12" i="4"/>
  <c r="CQ12" i="4"/>
  <c r="EK12" i="4"/>
  <c r="CD12" i="4"/>
  <c r="AQ12" i="4"/>
  <c r="AS12" i="4"/>
  <c r="AT12" i="4"/>
  <c r="CA12" i="4"/>
  <c r="CE12" i="4" s="1"/>
  <c r="EE12" i="4"/>
  <c r="BG12" i="4"/>
  <c r="BH12" i="4"/>
  <c r="BN12" i="4"/>
  <c r="BO12" i="4"/>
  <c r="CZ12" i="4"/>
  <c r="ED12" i="4"/>
  <c r="DO12" i="4"/>
  <c r="CI12" i="4"/>
  <c r="CK12" i="4" s="1"/>
  <c r="DZ12" i="4"/>
  <c r="EC12" i="4"/>
  <c r="CV12" i="4"/>
  <c r="CW12" i="4"/>
  <c r="AZ12" i="4"/>
  <c r="BB12" i="4"/>
  <c r="BC12" i="4"/>
  <c r="AY12" i="4"/>
  <c r="EI12" i="4" l="1"/>
  <c r="CG12" i="4"/>
  <c r="CF12" i="4"/>
  <c r="CB12" i="4"/>
  <c r="CC12" i="4"/>
  <c r="EJ12" i="4"/>
  <c r="CJ12" i="4"/>
  <c r="DP12" i="4"/>
  <c r="DR12" i="4"/>
  <c r="DT12" i="4"/>
  <c r="EH12" i="4"/>
  <c r="CH12" i="4"/>
  <c r="BA12" i="4"/>
  <c r="EG11" i="4"/>
  <c r="CD11" i="4"/>
  <c r="CA11" i="4"/>
  <c r="CE11" i="4" s="1"/>
  <c r="CV11" i="4"/>
  <c r="CW11" i="4"/>
  <c r="EK11" i="4"/>
  <c r="EE11" i="4"/>
  <c r="DY11" i="4"/>
  <c r="DZ11" i="4"/>
  <c r="DM11" i="4"/>
  <c r="DL11" i="4"/>
  <c r="DO11" i="4"/>
  <c r="CI11" i="4"/>
  <c r="CK11" i="4" s="1"/>
  <c r="EC11" i="4"/>
  <c r="ED11" i="4"/>
  <c r="CQ11" i="4"/>
  <c r="AQ11" i="4"/>
  <c r="AS11" i="4"/>
  <c r="AT11" i="4"/>
  <c r="CZ11" i="4"/>
  <c r="BG11" i="4"/>
  <c r="BH11" i="4"/>
  <c r="BN11" i="4"/>
  <c r="BO11" i="4"/>
  <c r="AZ11" i="4"/>
  <c r="BB11" i="4"/>
  <c r="BC11" i="4"/>
  <c r="AY11" i="4"/>
  <c r="CB11" i="4" l="1"/>
  <c r="CC11" i="4"/>
  <c r="EI11" i="4"/>
  <c r="CF11" i="4"/>
  <c r="CG11" i="4"/>
  <c r="EJ11" i="4"/>
  <c r="CJ11" i="4"/>
  <c r="DR11" i="4"/>
  <c r="DP11" i="4"/>
  <c r="DT11" i="4"/>
  <c r="EH11" i="4"/>
  <c r="CH11" i="4"/>
  <c r="EG23" i="4"/>
  <c r="EG24" i="4"/>
  <c r="EG25" i="4"/>
  <c r="EG26" i="4"/>
  <c r="EG27" i="4"/>
  <c r="BA11" i="4"/>
  <c r="HR4" i="4"/>
  <c r="GZ4" i="4"/>
  <c r="HC4" i="4" s="1"/>
  <c r="HB4" i="4"/>
  <c r="GG4" i="4"/>
  <c r="GK4" i="4" s="1"/>
  <c r="GJ4" i="4"/>
  <c r="GP4" i="4"/>
  <c r="HD4" i="4"/>
  <c r="GL4" i="4"/>
  <c r="FZ4" i="4"/>
  <c r="GA4" i="4"/>
  <c r="FY4" i="4"/>
  <c r="FS4" i="4"/>
  <c r="FT4" i="4"/>
  <c r="FR4" i="4"/>
  <c r="EK2" i="4" l="1"/>
  <c r="EK4" i="4"/>
  <c r="EK5" i="4"/>
  <c r="EK6" i="4"/>
  <c r="EK7" i="4"/>
  <c r="EK8" i="4"/>
  <c r="EK9" i="4"/>
  <c r="EK10" i="4"/>
  <c r="EK3" i="4"/>
  <c r="EJ4" i="4"/>
  <c r="EF6" i="4"/>
  <c r="EF8" i="4"/>
  <c r="EF10" i="4"/>
  <c r="EE3" i="4"/>
  <c r="EE4" i="4"/>
  <c r="EE5" i="4"/>
  <c r="EE6" i="4"/>
  <c r="EE7" i="4"/>
  <c r="EE8" i="4"/>
  <c r="EE2" i="4"/>
  <c r="ED2" i="4"/>
  <c r="ED5" i="4"/>
  <c r="ED6" i="4"/>
  <c r="ED8" i="4"/>
  <c r="ED9" i="4"/>
  <c r="ED10" i="4"/>
  <c r="ED3" i="4"/>
  <c r="EC4" i="4"/>
  <c r="EC5" i="4"/>
  <c r="EC7" i="4"/>
  <c r="EC8" i="4"/>
  <c r="EC10" i="4"/>
  <c r="EC2" i="4"/>
  <c r="EC3" i="4"/>
  <c r="EB5" i="4"/>
  <c r="EA4" i="4"/>
  <c r="EA6" i="4"/>
  <c r="EA7" i="4"/>
  <c r="EA8" i="4"/>
  <c r="EA9" i="4"/>
  <c r="EA10" i="4"/>
  <c r="EA3" i="4"/>
  <c r="DZ4" i="4"/>
  <c r="DZ5" i="4"/>
  <c r="DZ6" i="4"/>
  <c r="DZ8" i="4"/>
  <c r="DZ9" i="4"/>
  <c r="DZ3" i="4"/>
  <c r="DY3" i="4"/>
  <c r="DY4" i="4"/>
  <c r="DY5" i="4"/>
  <c r="DY6" i="4"/>
  <c r="DY7" i="4"/>
  <c r="DY9" i="4"/>
  <c r="DY10" i="4"/>
  <c r="EB23" i="4" l="1"/>
  <c r="EB24" i="4"/>
  <c r="EB25" i="4"/>
  <c r="EB26" i="4"/>
  <c r="EB27" i="4"/>
  <c r="EF23" i="4"/>
  <c r="EF24" i="4"/>
  <c r="EF25" i="4"/>
  <c r="EF26" i="4"/>
  <c r="EF27" i="4"/>
  <c r="EK23" i="4"/>
  <c r="EK24" i="4"/>
  <c r="EK25" i="4"/>
  <c r="EK26" i="4"/>
  <c r="EK27" i="4"/>
  <c r="AN12" i="4"/>
  <c r="N12" i="4"/>
  <c r="ID12" i="4" s="1"/>
  <c r="O12" i="4"/>
  <c r="V12" i="4"/>
  <c r="U12" i="4"/>
  <c r="I12" i="4"/>
  <c r="DX12" i="4" l="1"/>
  <c r="DA12" i="4"/>
  <c r="CX12" i="4"/>
  <c r="DQ12" i="4"/>
  <c r="DU12" i="4"/>
  <c r="DS12" i="4"/>
  <c r="BI12" i="4"/>
  <c r="BD12" i="4"/>
  <c r="AR12" i="4"/>
  <c r="HR6" i="4"/>
  <c r="HO6" i="4"/>
  <c r="HL5" i="4"/>
  <c r="HH5" i="4"/>
  <c r="HL4" i="4"/>
  <c r="HH3" i="4"/>
  <c r="HR3" i="4"/>
  <c r="HO3" i="4"/>
  <c r="HH2" i="4"/>
  <c r="DM10" i="4"/>
  <c r="CQ10" i="4"/>
  <c r="CZ10" i="4"/>
  <c r="DK10" i="4"/>
  <c r="BX10" i="4"/>
  <c r="EE10" i="4" s="1"/>
  <c r="CD10" i="4"/>
  <c r="AQ10" i="4"/>
  <c r="AS10" i="4"/>
  <c r="AT10" i="4"/>
  <c r="AY10" i="4"/>
  <c r="DO10" i="4"/>
  <c r="CI10" i="4"/>
  <c r="CK10" i="4" s="1"/>
  <c r="DC10" i="4"/>
  <c r="BR10" i="4"/>
  <c r="DZ10" i="4" s="1"/>
  <c r="BC10" i="4"/>
  <c r="CW10" i="4"/>
  <c r="CV10" i="4"/>
  <c r="AZ10" i="4"/>
  <c r="BB10" i="4"/>
  <c r="BG10" i="4"/>
  <c r="BH10" i="4"/>
  <c r="BN10" i="4"/>
  <c r="BO10" i="4"/>
  <c r="HC6" i="4"/>
  <c r="HB6" i="4"/>
  <c r="GP6" i="4"/>
  <c r="GK6" i="4"/>
  <c r="GJ6" i="4"/>
  <c r="GA6" i="4"/>
  <c r="FZ6" i="4"/>
  <c r="FY6" i="4"/>
  <c r="EI10" i="4" l="1"/>
  <c r="CF10" i="4"/>
  <c r="CG10" i="4"/>
  <c r="EJ10" i="4"/>
  <c r="CJ10" i="4"/>
  <c r="DT10" i="4"/>
  <c r="DR10" i="4"/>
  <c r="HH27" i="4"/>
  <c r="HH23" i="4"/>
  <c r="HH25" i="4"/>
  <c r="HH24" i="4"/>
  <c r="HH26" i="4"/>
  <c r="HL27" i="4"/>
  <c r="HL23" i="4"/>
  <c r="HL24" i="4"/>
  <c r="HL26" i="4"/>
  <c r="HL25" i="4"/>
  <c r="BA10" i="4"/>
  <c r="DL10" i="4"/>
  <c r="CA10" i="4"/>
  <c r="CE10" i="4" s="1"/>
  <c r="FT6" i="4"/>
  <c r="FS6" i="4"/>
  <c r="FR6" i="4"/>
  <c r="FK6" i="4"/>
  <c r="FI6" i="4"/>
  <c r="FE6" i="4"/>
  <c r="FA6" i="4"/>
  <c r="EW6" i="4"/>
  <c r="ET6" i="4"/>
  <c r="ES6" i="4"/>
  <c r="EQ6" i="4"/>
  <c r="CB10" i="4" l="1"/>
  <c r="CC10" i="4"/>
  <c r="CH10" i="4" s="1"/>
  <c r="DP10" i="4"/>
  <c r="EH10" i="4"/>
  <c r="EM6" i="4"/>
  <c r="HC8" i="4" l="1"/>
  <c r="HB8" i="4"/>
  <c r="GK8" i="4"/>
  <c r="GJ8" i="4"/>
  <c r="GP8" i="4"/>
  <c r="GA8" i="4"/>
  <c r="FZ8" i="4"/>
  <c r="FY8" i="4"/>
  <c r="FT8" i="4"/>
  <c r="FS8" i="4"/>
  <c r="FR8" i="4"/>
  <c r="N8" i="4"/>
  <c r="N10" i="4"/>
  <c r="N11" i="4"/>
  <c r="ID11" i="4" s="1"/>
  <c r="AN11" i="4"/>
  <c r="U11" i="4"/>
  <c r="V11" i="4"/>
  <c r="O11" i="4"/>
  <c r="O10" i="4"/>
  <c r="M11" i="4"/>
  <c r="I11" i="4"/>
  <c r="AN10" i="4"/>
  <c r="DX11" i="4" l="1"/>
  <c r="DA11" i="4"/>
  <c r="DX10" i="4"/>
  <c r="DA10" i="4"/>
  <c r="CX11" i="4"/>
  <c r="DS11" i="4"/>
  <c r="DU11" i="4"/>
  <c r="DQ11" i="4"/>
  <c r="CX10" i="4"/>
  <c r="DS10" i="4"/>
  <c r="DU10" i="4"/>
  <c r="DQ10" i="4"/>
  <c r="AR11" i="4"/>
  <c r="BD11" i="4"/>
  <c r="BI11" i="4"/>
  <c r="P10" i="4"/>
  <c r="U10" i="4"/>
  <c r="V10" i="4"/>
  <c r="M10" i="4"/>
  <c r="I10" i="4"/>
  <c r="ER8" i="4"/>
  <c r="ER3" i="4"/>
  <c r="ER4" i="4"/>
  <c r="ER2" i="4"/>
  <c r="M8" i="4"/>
  <c r="ER24" i="4" l="1"/>
  <c r="ER26" i="4"/>
  <c r="ER23" i="4"/>
  <c r="ER25" i="4"/>
  <c r="ER27" i="4"/>
  <c r="AR10" i="4"/>
  <c r="BD10" i="4"/>
  <c r="BI10" i="4"/>
  <c r="FE8" i="4"/>
  <c r="FA8" i="4"/>
  <c r="FI8" i="4"/>
  <c r="FK8" i="4"/>
  <c r="EY8" i="4"/>
  <c r="EW8" i="4"/>
  <c r="ET8" i="4"/>
  <c r="ES8" i="4"/>
  <c r="EQ8" i="4"/>
  <c r="EM8" i="4"/>
  <c r="BO3" i="4" l="1"/>
  <c r="BO4" i="4"/>
  <c r="BO5" i="4"/>
  <c r="BO6" i="4"/>
  <c r="BO7" i="4"/>
  <c r="BO8" i="4"/>
  <c r="BO9" i="4"/>
  <c r="BO2" i="4"/>
  <c r="AZ3" i="4"/>
  <c r="AZ4" i="4"/>
  <c r="AZ5" i="4"/>
  <c r="AZ6" i="4"/>
  <c r="AZ7" i="4"/>
  <c r="AZ8" i="4"/>
  <c r="AZ9" i="4"/>
  <c r="AZ2" i="4"/>
  <c r="AZ23" i="4" l="1"/>
  <c r="AZ24" i="4"/>
  <c r="AZ25" i="4"/>
  <c r="AZ26" i="4"/>
  <c r="AZ27" i="4"/>
  <c r="BO23" i="4"/>
  <c r="BO25" i="4"/>
  <c r="BO27" i="4"/>
  <c r="BO24" i="4"/>
  <c r="BO26" i="4"/>
  <c r="J47" i="5"/>
  <c r="I45" i="5"/>
  <c r="H44" i="5"/>
  <c r="J43" i="5"/>
  <c r="H43" i="5"/>
  <c r="E43" i="5"/>
  <c r="F43" i="5"/>
  <c r="E47" i="5"/>
  <c r="F44" i="5"/>
  <c r="E44" i="5" l="1"/>
  <c r="I46" i="5"/>
  <c r="J44" i="5"/>
  <c r="H47" i="5"/>
  <c r="F47" i="5"/>
  <c r="I44" i="5"/>
  <c r="H45" i="5"/>
  <c r="J45" i="5"/>
  <c r="I47" i="5"/>
  <c r="I43" i="5"/>
  <c r="H46" i="5"/>
  <c r="J46" i="5"/>
  <c r="D47" i="5"/>
  <c r="D45" i="5"/>
  <c r="E45" i="5"/>
  <c r="D46" i="5"/>
  <c r="F45" i="5"/>
  <c r="E46" i="5"/>
  <c r="D44" i="5"/>
  <c r="D43" i="5"/>
  <c r="F46" i="5"/>
  <c r="G11" i="5"/>
  <c r="AQ9" i="4"/>
  <c r="AS9" i="4"/>
  <c r="AT9" i="4"/>
  <c r="N15" i="5"/>
  <c r="M15" i="5"/>
  <c r="L15" i="5"/>
  <c r="K15" i="5"/>
  <c r="N13" i="5"/>
  <c r="M13" i="5"/>
  <c r="L13" i="5"/>
  <c r="K13" i="5"/>
  <c r="N14" i="5"/>
  <c r="M14" i="5"/>
  <c r="L14" i="5"/>
  <c r="K14" i="5"/>
  <c r="N18" i="5"/>
  <c r="M18" i="5"/>
  <c r="L18" i="5"/>
  <c r="K18" i="5"/>
  <c r="N17" i="5"/>
  <c r="M17" i="5"/>
  <c r="L17" i="5"/>
  <c r="K17" i="5"/>
  <c r="B15" i="5"/>
  <c r="B13" i="5"/>
  <c r="B14" i="5"/>
  <c r="B18" i="5"/>
  <c r="B17" i="5"/>
  <c r="C9" i="5"/>
  <c r="C8" i="5"/>
  <c r="C7" i="5"/>
  <c r="C6" i="5"/>
  <c r="C5" i="5"/>
  <c r="C4" i="5"/>
  <c r="C3" i="5"/>
  <c r="C2" i="5"/>
  <c r="I3" i="4"/>
  <c r="I4" i="4"/>
  <c r="I5" i="4"/>
  <c r="I6" i="4"/>
  <c r="I7" i="4"/>
  <c r="I8" i="4"/>
  <c r="I9" i="4"/>
  <c r="I2" i="4"/>
  <c r="DK9" i="4"/>
  <c r="DH9" i="4"/>
  <c r="DO9" i="4"/>
  <c r="BG9" i="4"/>
  <c r="BH9" i="4"/>
  <c r="BN9" i="4"/>
  <c r="CZ9" i="4"/>
  <c r="CQ9" i="4"/>
  <c r="CQ8" i="4"/>
  <c r="DT9" i="4" l="1"/>
  <c r="DM9" i="4"/>
  <c r="DI9" i="4"/>
  <c r="I24" i="4"/>
  <c r="I26" i="4"/>
  <c r="I23" i="4"/>
  <c r="I25" i="4"/>
  <c r="I27" i="4"/>
  <c r="DK23" i="4"/>
  <c r="DK24" i="4"/>
  <c r="DK25" i="4"/>
  <c r="DK26" i="4"/>
  <c r="DK27" i="4"/>
  <c r="DL9" i="4"/>
  <c r="C15" i="5"/>
  <c r="C17" i="5"/>
  <c r="C18" i="5"/>
  <c r="C14" i="5"/>
  <c r="C13" i="5"/>
  <c r="AY9" i="4"/>
  <c r="BA9" i="4" s="1"/>
  <c r="BX9" i="4"/>
  <c r="BU9" i="4"/>
  <c r="BV9" i="4" s="1"/>
  <c r="CI9" i="4"/>
  <c r="CK9" i="4" s="1"/>
  <c r="EJ9" i="4" l="1"/>
  <c r="CJ9" i="4"/>
  <c r="DP9" i="4"/>
  <c r="DR9" i="4"/>
  <c r="BX24" i="4"/>
  <c r="BX25" i="4"/>
  <c r="BX27" i="4"/>
  <c r="BX23" i="4"/>
  <c r="BX26" i="4"/>
  <c r="CD9" i="4"/>
  <c r="EC9" i="4"/>
  <c r="EE9" i="4"/>
  <c r="CA9" i="4"/>
  <c r="CE9" i="4" s="1"/>
  <c r="BB9" i="4"/>
  <c r="BC9" i="4"/>
  <c r="CV9" i="4"/>
  <c r="CW9" i="4"/>
  <c r="V9" i="4"/>
  <c r="EI9" i="4" l="1"/>
  <c r="CF9" i="4"/>
  <c r="CG9" i="4"/>
  <c r="CC9" i="4"/>
  <c r="CB9" i="4"/>
  <c r="EH9" i="4"/>
  <c r="EE24" i="4"/>
  <c r="EE26" i="4"/>
  <c r="EE23" i="4"/>
  <c r="EE25" i="4"/>
  <c r="EE27" i="4"/>
  <c r="CD8" i="4"/>
  <c r="DB8" i="4"/>
  <c r="BQ8" i="4"/>
  <c r="DO8" i="4"/>
  <c r="CI8" i="4"/>
  <c r="CK8" i="4" s="1"/>
  <c r="CH9" i="4" l="1"/>
  <c r="EI8" i="4"/>
  <c r="CF8" i="4"/>
  <c r="CG8" i="4"/>
  <c r="EJ8" i="4"/>
  <c r="CJ8" i="4"/>
  <c r="DT8" i="4"/>
  <c r="BQ23" i="4"/>
  <c r="BQ25" i="4"/>
  <c r="BQ27" i="4"/>
  <c r="BQ24" i="4"/>
  <c r="BQ26" i="4"/>
  <c r="DB26" i="4"/>
  <c r="DB24" i="4"/>
  <c r="DB27" i="4"/>
  <c r="DB25" i="4"/>
  <c r="DB23" i="4"/>
  <c r="DY8" i="4"/>
  <c r="CA8" i="4"/>
  <c r="CE8" i="4" s="1"/>
  <c r="DL8" i="4"/>
  <c r="DM8" i="4"/>
  <c r="CB8" i="4" l="1"/>
  <c r="CH8" i="4" s="1"/>
  <c r="CC8" i="4"/>
  <c r="DR8" i="4"/>
  <c r="DP8" i="4"/>
  <c r="EH8" i="4"/>
  <c r="DY27" i="4"/>
  <c r="DY23" i="4"/>
  <c r="DY24" i="4"/>
  <c r="DY25" i="4"/>
  <c r="DY26" i="4"/>
  <c r="AN9" i="4"/>
  <c r="P9" i="4"/>
  <c r="O9" i="4"/>
  <c r="U9" i="4"/>
  <c r="AR9" i="4"/>
  <c r="BG8" i="4"/>
  <c r="BH8" i="4"/>
  <c r="BN8" i="4"/>
  <c r="CZ8" i="4"/>
  <c r="CV8" i="4"/>
  <c r="CW8" i="4"/>
  <c r="AY8" i="4"/>
  <c r="BA8" i="4" s="1"/>
  <c r="BB8" i="4"/>
  <c r="BC8" i="4"/>
  <c r="AQ8" i="4"/>
  <c r="AS8" i="4"/>
  <c r="AT8" i="4"/>
  <c r="P8" i="4"/>
  <c r="O8" i="4"/>
  <c r="AN3" i="4"/>
  <c r="AN4" i="4"/>
  <c r="AN5" i="4"/>
  <c r="AN6" i="4"/>
  <c r="AN7" i="4"/>
  <c r="AN8" i="4"/>
  <c r="AN2" i="4"/>
  <c r="U8" i="4"/>
  <c r="V8" i="4"/>
  <c r="CX7" i="4" l="1"/>
  <c r="DX7" i="4"/>
  <c r="DA7" i="4"/>
  <c r="CX3" i="4"/>
  <c r="DX3" i="4"/>
  <c r="DA3" i="4"/>
  <c r="CX2" i="4"/>
  <c r="DX2" i="4"/>
  <c r="DA2" i="4"/>
  <c r="CX5" i="4"/>
  <c r="DA5" i="4"/>
  <c r="DX5" i="4"/>
  <c r="DS8" i="4"/>
  <c r="DX8" i="4"/>
  <c r="DA8" i="4"/>
  <c r="DX4" i="4"/>
  <c r="DA4" i="4"/>
  <c r="DA9" i="4"/>
  <c r="DX9" i="4"/>
  <c r="DX6" i="4"/>
  <c r="DA6" i="4"/>
  <c r="CX4" i="4"/>
  <c r="DQ4" i="4"/>
  <c r="DU4" i="4"/>
  <c r="DS4" i="4"/>
  <c r="CX9" i="4"/>
  <c r="DU9" i="4"/>
  <c r="DQ9" i="4"/>
  <c r="DS9" i="4"/>
  <c r="DQ8" i="4"/>
  <c r="CX8" i="4"/>
  <c r="DU8" i="4"/>
  <c r="CX6" i="4"/>
  <c r="DQ6" i="4"/>
  <c r="AN24" i="4"/>
  <c r="AN26" i="4"/>
  <c r="AN23" i="4"/>
  <c r="AN25" i="4"/>
  <c r="AN27" i="4"/>
  <c r="BD8" i="4"/>
  <c r="AR8" i="4"/>
  <c r="BI8" i="4"/>
  <c r="BI9" i="4"/>
  <c r="BD9" i="4"/>
  <c r="DO7" i="4"/>
  <c r="DM7" i="4"/>
  <c r="DJ7" i="4"/>
  <c r="DC7" i="4"/>
  <c r="CZ7" i="4"/>
  <c r="CW7" i="4"/>
  <c r="CV7" i="4"/>
  <c r="CQ7" i="4"/>
  <c r="CI7" i="4"/>
  <c r="CK7" i="4" s="1"/>
  <c r="CD7" i="4"/>
  <c r="BW7" i="4"/>
  <c r="BR7" i="4"/>
  <c r="BN7" i="4"/>
  <c r="BH7" i="4"/>
  <c r="BG7" i="4"/>
  <c r="BC7" i="4"/>
  <c r="BB7" i="4"/>
  <c r="AY7" i="4"/>
  <c r="BA7" i="4" s="1"/>
  <c r="AT7" i="4"/>
  <c r="AS7" i="4"/>
  <c r="AQ7" i="4"/>
  <c r="AG7" i="4"/>
  <c r="AC7" i="4"/>
  <c r="Y7" i="4"/>
  <c r="V7" i="4"/>
  <c r="U7" i="4"/>
  <c r="P7" i="4"/>
  <c r="O7" i="4"/>
  <c r="N7" i="4"/>
  <c r="M7" i="4"/>
  <c r="DO6" i="4"/>
  <c r="DP6" i="4"/>
  <c r="DH6" i="4"/>
  <c r="DI6" i="4" s="1"/>
  <c r="CZ6" i="4"/>
  <c r="CW6" i="4"/>
  <c r="CV6" i="4"/>
  <c r="CQ6" i="4"/>
  <c r="CI6" i="4"/>
  <c r="CK6" i="4" s="1"/>
  <c r="CA6" i="4"/>
  <c r="BU6" i="4"/>
  <c r="BV6" i="4" s="1"/>
  <c r="BN6" i="4"/>
  <c r="BH6" i="4"/>
  <c r="BG6" i="4"/>
  <c r="BC6" i="4"/>
  <c r="BB6" i="4"/>
  <c r="AY6" i="4"/>
  <c r="BA6" i="4" s="1"/>
  <c r="AT6" i="4"/>
  <c r="AS6" i="4"/>
  <c r="AQ6" i="4"/>
  <c r="Y6" i="4"/>
  <c r="EY6" i="4" s="1"/>
  <c r="V6" i="4"/>
  <c r="U6" i="4"/>
  <c r="P6" i="4"/>
  <c r="O6" i="4"/>
  <c r="N6" i="4"/>
  <c r="M6" i="4"/>
  <c r="DO5" i="4"/>
  <c r="DM5" i="4"/>
  <c r="DS5" i="4" s="1"/>
  <c r="DL5" i="4"/>
  <c r="CZ5" i="4"/>
  <c r="CW5" i="4"/>
  <c r="CV5" i="4"/>
  <c r="CQ5" i="4"/>
  <c r="CI5" i="4"/>
  <c r="CK5" i="4" s="1"/>
  <c r="CD5" i="4"/>
  <c r="CA5" i="4"/>
  <c r="BN5" i="4"/>
  <c r="BH5" i="4"/>
  <c r="BG5" i="4"/>
  <c r="BC5" i="4"/>
  <c r="BB5" i="4"/>
  <c r="AY5" i="4"/>
  <c r="BA5" i="4" s="1"/>
  <c r="AT5" i="4"/>
  <c r="AS5" i="4"/>
  <c r="AQ5" i="4"/>
  <c r="Z5" i="4"/>
  <c r="Y5" i="4"/>
  <c r="V5" i="4"/>
  <c r="U5" i="4"/>
  <c r="P5" i="4"/>
  <c r="M5" i="4"/>
  <c r="FK4" i="4"/>
  <c r="FH4" i="4"/>
  <c r="FE4" i="4"/>
  <c r="FA4" i="4"/>
  <c r="EY4" i="4"/>
  <c r="EW4" i="4"/>
  <c r="ET4" i="4"/>
  <c r="ES4" i="4"/>
  <c r="EQ4" i="4"/>
  <c r="EM4" i="4"/>
  <c r="DT4" i="4"/>
  <c r="DR4" i="4"/>
  <c r="DP4" i="4"/>
  <c r="CZ4" i="4"/>
  <c r="CW4" i="4"/>
  <c r="CV4" i="4"/>
  <c r="CQ4" i="4"/>
  <c r="CD4" i="4"/>
  <c r="CA4" i="4"/>
  <c r="CE4" i="4" s="1"/>
  <c r="BN4" i="4"/>
  <c r="BH4" i="4"/>
  <c r="BG4" i="4"/>
  <c r="BC4" i="4"/>
  <c r="BB4" i="4"/>
  <c r="AY4" i="4"/>
  <c r="BA4" i="4" s="1"/>
  <c r="AT4" i="4"/>
  <c r="AS4" i="4"/>
  <c r="AQ4" i="4"/>
  <c r="V4" i="4"/>
  <c r="U4" i="4"/>
  <c r="O4" i="4"/>
  <c r="N4" i="4"/>
  <c r="M4" i="4"/>
  <c r="HD3" i="4"/>
  <c r="HC3" i="4"/>
  <c r="HB3" i="4"/>
  <c r="GP3" i="4"/>
  <c r="GL3" i="4"/>
  <c r="GK3" i="4"/>
  <c r="GJ3" i="4"/>
  <c r="GA3" i="4"/>
  <c r="FZ3" i="4"/>
  <c r="FY3" i="4"/>
  <c r="FT3" i="4"/>
  <c r="FS3" i="4"/>
  <c r="FR3" i="4"/>
  <c r="FK3" i="4"/>
  <c r="FE3" i="4"/>
  <c r="FA3" i="4"/>
  <c r="EY3" i="4"/>
  <c r="EW3" i="4"/>
  <c r="ET3" i="4"/>
  <c r="ES3" i="4"/>
  <c r="EQ3" i="4"/>
  <c r="EM3" i="4"/>
  <c r="DO3" i="4"/>
  <c r="DM3" i="4"/>
  <c r="DL3" i="4"/>
  <c r="CZ3" i="4"/>
  <c r="CW3" i="4"/>
  <c r="CV3" i="4"/>
  <c r="CQ3" i="4"/>
  <c r="CI3" i="4"/>
  <c r="CK3" i="4" s="1"/>
  <c r="CD3" i="4"/>
  <c r="CA3" i="4"/>
  <c r="BN3" i="4"/>
  <c r="BH3" i="4"/>
  <c r="BG3" i="4"/>
  <c r="BC3" i="4"/>
  <c r="BB3" i="4"/>
  <c r="AY3" i="4"/>
  <c r="BA3" i="4" s="1"/>
  <c r="AT3" i="4"/>
  <c r="AS3" i="4"/>
  <c r="AQ3" i="4"/>
  <c r="AG3" i="4"/>
  <c r="V3" i="4"/>
  <c r="U3" i="4"/>
  <c r="P3" i="4"/>
  <c r="O3" i="4"/>
  <c r="N3" i="4"/>
  <c r="M3" i="4"/>
  <c r="FK2" i="4"/>
  <c r="FD2" i="4"/>
  <c r="FE2" i="4" s="1"/>
  <c r="FC2" i="4"/>
  <c r="FA2" i="4"/>
  <c r="EX2" i="4"/>
  <c r="EW2" i="4"/>
  <c r="ET2" i="4"/>
  <c r="ES2" i="4"/>
  <c r="EQ2" i="4"/>
  <c r="EM2" i="4"/>
  <c r="DO2" i="4"/>
  <c r="DU2" i="4" s="1"/>
  <c r="DF2" i="4"/>
  <c r="DC2" i="4"/>
  <c r="CZ2" i="4"/>
  <c r="CW2" i="4"/>
  <c r="CV2" i="4"/>
  <c r="CQ2" i="4"/>
  <c r="CI2" i="4"/>
  <c r="BS2" i="4"/>
  <c r="BR2" i="4"/>
  <c r="BN2" i="4"/>
  <c r="BH2" i="4"/>
  <c r="BG2" i="4"/>
  <c r="BC2" i="4"/>
  <c r="BB2" i="4"/>
  <c r="AY2" i="4"/>
  <c r="AT2" i="4"/>
  <c r="AS2" i="4"/>
  <c r="AQ2" i="4"/>
  <c r="Y2" i="4"/>
  <c r="V2" i="4"/>
  <c r="U2" i="4"/>
  <c r="P2" i="4"/>
  <c r="O2" i="4"/>
  <c r="N2" i="4"/>
  <c r="M2" i="4"/>
  <c r="DX23" i="4" l="1"/>
  <c r="DX25" i="4"/>
  <c r="DX27" i="4"/>
  <c r="DX24" i="4"/>
  <c r="DX26" i="4"/>
  <c r="CE3" i="4"/>
  <c r="CE5" i="4"/>
  <c r="DA26" i="4"/>
  <c r="DA23" i="4"/>
  <c r="DA27" i="4"/>
  <c r="DA24" i="4"/>
  <c r="DA25" i="4"/>
  <c r="EI5" i="4"/>
  <c r="CF5" i="4"/>
  <c r="CG5" i="4"/>
  <c r="CJ2" i="4"/>
  <c r="CK2" i="4"/>
  <c r="CB4" i="4"/>
  <c r="CC4" i="4"/>
  <c r="CH4" i="4" s="1"/>
  <c r="EI4" i="4"/>
  <c r="CF4" i="4"/>
  <c r="CG4" i="4"/>
  <c r="CB6" i="4"/>
  <c r="CC6" i="4"/>
  <c r="EI3" i="4"/>
  <c r="CF3" i="4"/>
  <c r="CG3" i="4"/>
  <c r="CB3" i="4"/>
  <c r="CC3" i="4"/>
  <c r="CB5" i="4"/>
  <c r="CC5" i="4"/>
  <c r="CH5" i="4" s="1"/>
  <c r="EI7" i="4"/>
  <c r="CF7" i="4"/>
  <c r="CG7" i="4"/>
  <c r="EJ7" i="4"/>
  <c r="CJ7" i="4"/>
  <c r="CX25" i="4"/>
  <c r="BJ5" i="4"/>
  <c r="BJ27" i="4" s="1"/>
  <c r="Q5" i="4"/>
  <c r="EJ5" i="4"/>
  <c r="CJ5" i="4"/>
  <c r="EJ3" i="4"/>
  <c r="CJ3" i="4"/>
  <c r="EJ6" i="4"/>
  <c r="CJ6" i="4"/>
  <c r="CX24" i="4"/>
  <c r="DP3" i="4"/>
  <c r="DQ3" i="4"/>
  <c r="DP5" i="4"/>
  <c r="DQ5" i="4"/>
  <c r="DT6" i="4"/>
  <c r="DU6" i="4"/>
  <c r="CX27" i="4"/>
  <c r="DR3" i="4"/>
  <c r="DS3" i="4"/>
  <c r="DR7" i="4"/>
  <c r="DS7" i="4"/>
  <c r="CX26" i="4"/>
  <c r="CX23" i="4"/>
  <c r="DT3" i="4"/>
  <c r="DU3" i="4"/>
  <c r="DT5" i="4"/>
  <c r="DU5" i="4"/>
  <c r="DT7" i="4"/>
  <c r="DU7" i="4"/>
  <c r="EH3" i="4"/>
  <c r="EH5" i="4"/>
  <c r="EH4" i="4"/>
  <c r="BJ25" i="4"/>
  <c r="EH6" i="4"/>
  <c r="O5" i="4"/>
  <c r="O25" i="4" s="1"/>
  <c r="AA5" i="4"/>
  <c r="DI27" i="4"/>
  <c r="DI24" i="4"/>
  <c r="DI23" i="4"/>
  <c r="DI26" i="4"/>
  <c r="DI25" i="4"/>
  <c r="BV23" i="4"/>
  <c r="BV26" i="4"/>
  <c r="BV27" i="4"/>
  <c r="BV24" i="4"/>
  <c r="BV25" i="4"/>
  <c r="ES23" i="4"/>
  <c r="ES25" i="4"/>
  <c r="ES27" i="4"/>
  <c r="ES24" i="4"/>
  <c r="ES26" i="4"/>
  <c r="FA23" i="4"/>
  <c r="FA25" i="4"/>
  <c r="FA27" i="4"/>
  <c r="FA24" i="4"/>
  <c r="FA26" i="4"/>
  <c r="EM23" i="4"/>
  <c r="EM24" i="4"/>
  <c r="EM25" i="4"/>
  <c r="EM26" i="4"/>
  <c r="EM27" i="4"/>
  <c r="EW23" i="4"/>
  <c r="EW24" i="4"/>
  <c r="EW25" i="4"/>
  <c r="EW26" i="4"/>
  <c r="EW27" i="4"/>
  <c r="EQ23" i="4"/>
  <c r="EQ25" i="4"/>
  <c r="EQ27" i="4"/>
  <c r="EQ24" i="4"/>
  <c r="EQ26" i="4"/>
  <c r="ET23" i="4"/>
  <c r="ET24" i="4"/>
  <c r="ET25" i="4"/>
  <c r="ET26" i="4"/>
  <c r="ET27" i="4"/>
  <c r="EX23" i="4"/>
  <c r="EX24" i="4"/>
  <c r="EX25" i="4"/>
  <c r="EX26" i="4"/>
  <c r="EX27" i="4"/>
  <c r="U26" i="4"/>
  <c r="U24" i="4"/>
  <c r="U27" i="4"/>
  <c r="U25" i="4"/>
  <c r="U23" i="4"/>
  <c r="Y24" i="4"/>
  <c r="Y26" i="4"/>
  <c r="Y23" i="4"/>
  <c r="Y25" i="4"/>
  <c r="Y27" i="4"/>
  <c r="AY24" i="4"/>
  <c r="AY26" i="4"/>
  <c r="AY23" i="4"/>
  <c r="AY25" i="4"/>
  <c r="AY27" i="4"/>
  <c r="BH24" i="4"/>
  <c r="BH26" i="4"/>
  <c r="BH23" i="4"/>
  <c r="BH25" i="4"/>
  <c r="BH27" i="4"/>
  <c r="CI23" i="4"/>
  <c r="CI24" i="4"/>
  <c r="CI26" i="4"/>
  <c r="CI25" i="4"/>
  <c r="CI27" i="4"/>
  <c r="DF26" i="4"/>
  <c r="DF24" i="4"/>
  <c r="DF27" i="4"/>
  <c r="DF25" i="4"/>
  <c r="DF23" i="4"/>
  <c r="M26" i="4"/>
  <c r="M24" i="4"/>
  <c r="M27" i="4"/>
  <c r="M25" i="4"/>
  <c r="M23" i="4"/>
  <c r="O23" i="4"/>
  <c r="T23" i="4"/>
  <c r="T25" i="4"/>
  <c r="T27" i="4"/>
  <c r="T24" i="4"/>
  <c r="T26" i="4"/>
  <c r="V23" i="4"/>
  <c r="V25" i="4"/>
  <c r="V27" i="4"/>
  <c r="V24" i="4"/>
  <c r="V26" i="4"/>
  <c r="AQ23" i="4"/>
  <c r="AQ25" i="4"/>
  <c r="AQ27" i="4"/>
  <c r="AQ24" i="4"/>
  <c r="AQ26" i="4"/>
  <c r="AT24" i="4"/>
  <c r="AT26" i="4"/>
  <c r="AT23" i="4"/>
  <c r="AT25" i="4"/>
  <c r="AT27" i="4"/>
  <c r="BB23" i="4"/>
  <c r="BB25" i="4"/>
  <c r="BB27" i="4"/>
  <c r="BB24" i="4"/>
  <c r="BB26" i="4"/>
  <c r="BG27" i="4"/>
  <c r="BG25" i="4"/>
  <c r="BG23" i="4"/>
  <c r="BG26" i="4"/>
  <c r="BG24" i="4"/>
  <c r="BN26" i="4"/>
  <c r="BN24" i="4"/>
  <c r="BN27" i="4"/>
  <c r="BN25" i="4"/>
  <c r="BN23" i="4"/>
  <c r="BS23" i="4"/>
  <c r="BS25" i="4"/>
  <c r="BS27" i="4"/>
  <c r="BS24" i="4"/>
  <c r="BS26" i="4"/>
  <c r="CQ23" i="4"/>
  <c r="CQ25" i="4"/>
  <c r="CQ27" i="4"/>
  <c r="CQ24" i="4"/>
  <c r="CQ26" i="4"/>
  <c r="CW27" i="4"/>
  <c r="CW26" i="4"/>
  <c r="CW25" i="4"/>
  <c r="CW24" i="4"/>
  <c r="CW23" i="4"/>
  <c r="DC23" i="4"/>
  <c r="DC24" i="4"/>
  <c r="DC25" i="4"/>
  <c r="DC26" i="4"/>
  <c r="DC27" i="4"/>
  <c r="AG24" i="4"/>
  <c r="AG26" i="4"/>
  <c r="AG23" i="4"/>
  <c r="AG25" i="4"/>
  <c r="AG27" i="4"/>
  <c r="BU23" i="4"/>
  <c r="BU25" i="4"/>
  <c r="BU27" i="4"/>
  <c r="BU24" i="4"/>
  <c r="BU26" i="4"/>
  <c r="AC23" i="4"/>
  <c r="AC25" i="4"/>
  <c r="AC27" i="4"/>
  <c r="AC24" i="4"/>
  <c r="AC26" i="4"/>
  <c r="BW24" i="4"/>
  <c r="BW26" i="4"/>
  <c r="BW23" i="4"/>
  <c r="BW25" i="4"/>
  <c r="BW27" i="4"/>
  <c r="DJ23" i="4"/>
  <c r="DJ24" i="4"/>
  <c r="DJ25" i="4"/>
  <c r="DJ26" i="4"/>
  <c r="DJ27" i="4"/>
  <c r="P23" i="4"/>
  <c r="P25" i="4"/>
  <c r="P27" i="4"/>
  <c r="P24" i="4"/>
  <c r="P26" i="4"/>
  <c r="AS27" i="4"/>
  <c r="AS25" i="4"/>
  <c r="AS23" i="4"/>
  <c r="AS26" i="4"/>
  <c r="AS24" i="4"/>
  <c r="BC23" i="4"/>
  <c r="BC24" i="4"/>
  <c r="BC25" i="4"/>
  <c r="BC26" i="4"/>
  <c r="BC27" i="4"/>
  <c r="BR24" i="4"/>
  <c r="BR26" i="4"/>
  <c r="BR23" i="4"/>
  <c r="BR25" i="4"/>
  <c r="BR27" i="4"/>
  <c r="CV27" i="4"/>
  <c r="CV26" i="4"/>
  <c r="CV25" i="4"/>
  <c r="CV24" i="4"/>
  <c r="CV23" i="4"/>
  <c r="CZ26" i="4"/>
  <c r="CZ24" i="4"/>
  <c r="CZ27" i="4"/>
  <c r="CZ25" i="4"/>
  <c r="CZ23" i="4"/>
  <c r="Z27" i="4"/>
  <c r="Z25" i="4"/>
  <c r="Z23" i="4"/>
  <c r="Z26" i="4"/>
  <c r="Z24" i="4"/>
  <c r="DH23" i="4"/>
  <c r="DH24" i="4"/>
  <c r="DH25" i="4"/>
  <c r="DH26" i="4"/>
  <c r="DH27" i="4"/>
  <c r="BA2" i="4"/>
  <c r="EJ2" i="4"/>
  <c r="DR5" i="4"/>
  <c r="DZ2" i="4"/>
  <c r="AR2" i="4"/>
  <c r="EA2" i="4"/>
  <c r="BD4" i="4"/>
  <c r="AR4" i="4"/>
  <c r="BD5" i="4"/>
  <c r="AR5" i="4"/>
  <c r="BI6" i="4"/>
  <c r="AR6" i="4"/>
  <c r="CA7" i="4"/>
  <c r="CE7" i="4" s="1"/>
  <c r="DZ7" i="4"/>
  <c r="BI3" i="4"/>
  <c r="AR3" i="4"/>
  <c r="EC6" i="4"/>
  <c r="BI7" i="4"/>
  <c r="AR7" i="4"/>
  <c r="ED7" i="4"/>
  <c r="BD2" i="4"/>
  <c r="DT2" i="4"/>
  <c r="DL7" i="4"/>
  <c r="EY2" i="4"/>
  <c r="BD3" i="4"/>
  <c r="BI4" i="4"/>
  <c r="BD6" i="4"/>
  <c r="BD7" i="4"/>
  <c r="BI2" i="4"/>
  <c r="CD2" i="4"/>
  <c r="DL2" i="4"/>
  <c r="FI3" i="4"/>
  <c r="N5" i="4"/>
  <c r="N25" i="4" s="1"/>
  <c r="BI5" i="4"/>
  <c r="CA2" i="4"/>
  <c r="DM2" i="4"/>
  <c r="DS2" i="4" s="1"/>
  <c r="CD6" i="4"/>
  <c r="CE6" i="4" s="1"/>
  <c r="DM6" i="4"/>
  <c r="CE2" i="4" l="1"/>
  <c r="CE18" i="4" s="1"/>
  <c r="DQ2" i="4"/>
  <c r="CH3" i="4"/>
  <c r="CB2" i="4"/>
  <c r="CC2" i="4"/>
  <c r="CJ23" i="4"/>
  <c r="CJ25" i="4"/>
  <c r="CJ27" i="4"/>
  <c r="CJ24" i="4"/>
  <c r="CJ26" i="4"/>
  <c r="CG2" i="4"/>
  <c r="CF2" i="4"/>
  <c r="EI6" i="4"/>
  <c r="CF6" i="4"/>
  <c r="CG6" i="4"/>
  <c r="CB7" i="4"/>
  <c r="CC7" i="4"/>
  <c r="CK26" i="4"/>
  <c r="CK23" i="4"/>
  <c r="CK25" i="4"/>
  <c r="CK27" i="4"/>
  <c r="CK24" i="4"/>
  <c r="O26" i="4"/>
  <c r="BJ26" i="4"/>
  <c r="O27" i="4"/>
  <c r="O24" i="4"/>
  <c r="BJ24" i="4"/>
  <c r="BJ23" i="4"/>
  <c r="Q27" i="4"/>
  <c r="Q24" i="4"/>
  <c r="Q23" i="4"/>
  <c r="Q25" i="4"/>
  <c r="Q26" i="4"/>
  <c r="DU25" i="4"/>
  <c r="DU24" i="4"/>
  <c r="DP7" i="4"/>
  <c r="DQ7" i="4"/>
  <c r="DQ26" i="4" s="1"/>
  <c r="DU27" i="4"/>
  <c r="DU26" i="4"/>
  <c r="DU23" i="4"/>
  <c r="DR6" i="4"/>
  <c r="DS6" i="4"/>
  <c r="DS26" i="4" s="1"/>
  <c r="CH2" i="4"/>
  <c r="BK5" i="4"/>
  <c r="AA24" i="4"/>
  <c r="AA25" i="4"/>
  <c r="AA26" i="4"/>
  <c r="AA27" i="4"/>
  <c r="AA23" i="4"/>
  <c r="EH7" i="4"/>
  <c r="CH7" i="4"/>
  <c r="CH6" i="4"/>
  <c r="EC24" i="4"/>
  <c r="EC26" i="4"/>
  <c r="EC23" i="4"/>
  <c r="EC25" i="4"/>
  <c r="EC27" i="4"/>
  <c r="EY23" i="4"/>
  <c r="EY25" i="4"/>
  <c r="EY27" i="4"/>
  <c r="EY24" i="4"/>
  <c r="EY26" i="4"/>
  <c r="DT23" i="4"/>
  <c r="DT24" i="4"/>
  <c r="DT25" i="4"/>
  <c r="DT26" i="4"/>
  <c r="DT27" i="4"/>
  <c r="ED23" i="4"/>
  <c r="ED25" i="4"/>
  <c r="ED27" i="4"/>
  <c r="ED24" i="4"/>
  <c r="ED26" i="4"/>
  <c r="EA23" i="4"/>
  <c r="EA24" i="4"/>
  <c r="EA25" i="4"/>
  <c r="EA26" i="4"/>
  <c r="EA27" i="4"/>
  <c r="DZ23" i="4"/>
  <c r="DZ24" i="4"/>
  <c r="DZ25" i="4"/>
  <c r="DZ26" i="4"/>
  <c r="DZ27" i="4"/>
  <c r="EJ23" i="4"/>
  <c r="EJ24" i="4"/>
  <c r="EJ25" i="4"/>
  <c r="EJ26" i="4"/>
  <c r="EJ27" i="4"/>
  <c r="CA23" i="4"/>
  <c r="CA24" i="4"/>
  <c r="CA26" i="4"/>
  <c r="CA25" i="4"/>
  <c r="CA27" i="4"/>
  <c r="BI23" i="4"/>
  <c r="BI25" i="4"/>
  <c r="BI27" i="4"/>
  <c r="BI24" i="4"/>
  <c r="BI26" i="4"/>
  <c r="AR24" i="4"/>
  <c r="AR26" i="4"/>
  <c r="AR23" i="4"/>
  <c r="AR25" i="4"/>
  <c r="AR27" i="4"/>
  <c r="BA23" i="4"/>
  <c r="BA24" i="4"/>
  <c r="BA25" i="4"/>
  <c r="BA26" i="4"/>
  <c r="BA27" i="4"/>
  <c r="N26" i="4"/>
  <c r="N27" i="4"/>
  <c r="N23" i="4"/>
  <c r="DL23" i="4"/>
  <c r="DL24" i="4"/>
  <c r="DL25" i="4"/>
  <c r="DL26" i="4"/>
  <c r="DL27" i="4"/>
  <c r="BD23" i="4"/>
  <c r="BD24" i="4"/>
  <c r="BD25" i="4"/>
  <c r="BD26" i="4"/>
  <c r="BD27" i="4"/>
  <c r="DM23" i="4"/>
  <c r="DM24" i="4"/>
  <c r="DM25" i="4"/>
  <c r="DM26" i="4"/>
  <c r="DM27" i="4"/>
  <c r="CD25" i="4"/>
  <c r="CD27" i="4"/>
  <c r="CD23" i="4"/>
  <c r="CD24" i="4"/>
  <c r="CD26" i="4"/>
  <c r="N24" i="4"/>
  <c r="EI2" i="4"/>
  <c r="EH2" i="4"/>
  <c r="DR2" i="4"/>
  <c r="DP2" i="4"/>
  <c r="DO25" i="4" l="1"/>
  <c r="DO24" i="4"/>
  <c r="DO26" i="4"/>
  <c r="DO23" i="4"/>
  <c r="DO27" i="4"/>
  <c r="CG27" i="4"/>
  <c r="CG24" i="4"/>
  <c r="CG23" i="4"/>
  <c r="CG26" i="4"/>
  <c r="CG25" i="4"/>
  <c r="CC26" i="4"/>
  <c r="CC23" i="4"/>
  <c r="CC25" i="4"/>
  <c r="CC27" i="4"/>
  <c r="CC24" i="4"/>
  <c r="CF27" i="4"/>
  <c r="CF24" i="4"/>
  <c r="CF23" i="4"/>
  <c r="CF26" i="4"/>
  <c r="CF25" i="4"/>
  <c r="CB23" i="4"/>
  <c r="CB25" i="4"/>
  <c r="CB27" i="4"/>
  <c r="CB26" i="4"/>
  <c r="CB24" i="4"/>
  <c r="DQ23" i="4"/>
  <c r="DQ24" i="4"/>
  <c r="DS24" i="4"/>
  <c r="DQ27" i="4"/>
  <c r="DQ25" i="4"/>
  <c r="DS27" i="4"/>
  <c r="DS23" i="4"/>
  <c r="DS25" i="4"/>
  <c r="BK23" i="4"/>
  <c r="BK26" i="4"/>
  <c r="BK25" i="4"/>
  <c r="BK27" i="4"/>
  <c r="BK24" i="4"/>
  <c r="CH27" i="4"/>
  <c r="CH24" i="4"/>
  <c r="CH26" i="4"/>
  <c r="CH23" i="4"/>
  <c r="CH25" i="4"/>
  <c r="EH23" i="4"/>
  <c r="EH24" i="4"/>
  <c r="EH25" i="4"/>
  <c r="EH26" i="4"/>
  <c r="EH27" i="4"/>
  <c r="DR23" i="4"/>
  <c r="DR24" i="4"/>
  <c r="DR25" i="4"/>
  <c r="DR26" i="4"/>
  <c r="DR27" i="4"/>
  <c r="EI23" i="4"/>
  <c r="EI24" i="4"/>
  <c r="EI25" i="4"/>
  <c r="EI26" i="4"/>
  <c r="EI27" i="4"/>
  <c r="DP24" i="4"/>
  <c r="DP26" i="4"/>
  <c r="DP23" i="4"/>
  <c r="DP25" i="4"/>
  <c r="DP27" i="4"/>
</calcChain>
</file>

<file path=xl/sharedStrings.xml><?xml version="1.0" encoding="utf-8"?>
<sst xmlns="http://schemas.openxmlformats.org/spreadsheetml/2006/main" count="891" uniqueCount="314">
  <si>
    <t>ID (HFEI)</t>
  </si>
  <si>
    <t>VO2pk 1</t>
  </si>
  <si>
    <t>VT 1</t>
  </si>
  <si>
    <t>VT time 1</t>
  </si>
  <si>
    <t>RCP 1</t>
  </si>
  <si>
    <t>RCP PO 1</t>
  </si>
  <si>
    <t>RCP time 1</t>
  </si>
  <si>
    <t>HR rest 1</t>
  </si>
  <si>
    <t>HR VT 1</t>
  </si>
  <si>
    <t>HR RCP 1</t>
  </si>
  <si>
    <t>HR peak 1</t>
  </si>
  <si>
    <t>VO2 rest 1</t>
  </si>
  <si>
    <t>CR 1 VO2 rest</t>
  </si>
  <si>
    <t>CR1 VO2 warm up 5 min</t>
  </si>
  <si>
    <t>CR1 VO2 warm up 10 min</t>
  </si>
  <si>
    <t>Weight (kg)</t>
  </si>
  <si>
    <t>Age</t>
  </si>
  <si>
    <t>RER pk 1</t>
  </si>
  <si>
    <t>CR 1 HR rest</t>
  </si>
  <si>
    <t>CR1 HR warm up 5 min</t>
  </si>
  <si>
    <t>CR1 HR warm up 10 min</t>
  </si>
  <si>
    <t>CR1 HR average</t>
  </si>
  <si>
    <t>CR1 VO2 average</t>
  </si>
  <si>
    <t>CR1 HR aerobic weight-bearing</t>
  </si>
  <si>
    <t>CR1 HR aerobic non w-b</t>
  </si>
  <si>
    <t>CR1 HR active recovery</t>
  </si>
  <si>
    <t>CR HR cool-down</t>
  </si>
  <si>
    <t>CR1 VO2 aerobic weight-bearing</t>
  </si>
  <si>
    <t>CR1 VO2 aerobic non w-b</t>
  </si>
  <si>
    <t>CR1 VO2 active recovery</t>
  </si>
  <si>
    <t>CR VO2 cool-down</t>
  </si>
  <si>
    <t>CR1 highest VO2</t>
  </si>
  <si>
    <t>CR 1 highest HR</t>
  </si>
  <si>
    <t>CR1 RER average</t>
  </si>
  <si>
    <t>CR1 corresponding highest RER</t>
  </si>
  <si>
    <t>CR 1 highest METs (S)</t>
  </si>
  <si>
    <t>CR 1 highest METs (I)</t>
  </si>
  <si>
    <t>highest VO2 and HR coincide</t>
  </si>
  <si>
    <t>N</t>
  </si>
  <si>
    <t>Y</t>
  </si>
  <si>
    <t>TTE 1 (s)</t>
  </si>
  <si>
    <t>PPO 1 (W)</t>
  </si>
  <si>
    <t>Sex</t>
  </si>
  <si>
    <t>M</t>
  </si>
  <si>
    <t>F</t>
  </si>
  <si>
    <t>Predicted VO2peak</t>
  </si>
  <si>
    <t>VO2peak % predicted value</t>
  </si>
  <si>
    <t>VT % measured VO2peak</t>
  </si>
  <si>
    <t xml:space="preserve">VT % predicted VO2peak </t>
  </si>
  <si>
    <t>VE/VCO2 slope</t>
  </si>
  <si>
    <t>CR 1 average METs (S)</t>
  </si>
  <si>
    <t>CR 1 average METs (I)</t>
  </si>
  <si>
    <t>VO2 rest lowest value in all tests</t>
  </si>
  <si>
    <t>VO2 rest 2</t>
  </si>
  <si>
    <t>VO2pk 2</t>
  </si>
  <si>
    <t>METs pk 2 (S)</t>
  </si>
  <si>
    <t>METs pk 2 (I)</t>
  </si>
  <si>
    <t>RER pk 2</t>
  </si>
  <si>
    <t>PPO 2 (W)</t>
  </si>
  <si>
    <t>TTE 2 (s)</t>
  </si>
  <si>
    <t>VT 2</t>
  </si>
  <si>
    <t xml:space="preserve"> VT PO 2</t>
  </si>
  <si>
    <t>VT time 2</t>
  </si>
  <si>
    <t>RCP 2</t>
  </si>
  <si>
    <t>RCP PO 2</t>
  </si>
  <si>
    <t>RCP time 2</t>
  </si>
  <si>
    <t>HR rest 2</t>
  </si>
  <si>
    <t>HR VT 2</t>
  </si>
  <si>
    <t>HR RCP 2</t>
  </si>
  <si>
    <t>HR peak 2</t>
  </si>
  <si>
    <t>CR1 VO2 walk</t>
  </si>
  <si>
    <t>CR1 VO2 step</t>
  </si>
  <si>
    <t>CR1 VO2 row</t>
  </si>
  <si>
    <t>CR1 VO2 bike</t>
  </si>
  <si>
    <t>weight change (kg)</t>
  </si>
  <si>
    <t xml:space="preserve"> </t>
  </si>
  <si>
    <t>% change</t>
  </si>
  <si>
    <t>Change in PPO (W)</t>
  </si>
  <si>
    <t>change in TTE (s)</t>
  </si>
  <si>
    <t>change in VT</t>
  </si>
  <si>
    <t>Change in VT time</t>
  </si>
  <si>
    <t>Change in VT W</t>
  </si>
  <si>
    <t>AF</t>
  </si>
  <si>
    <t>Change in RCP time</t>
  </si>
  <si>
    <t>RCP reached</t>
  </si>
  <si>
    <t>Change in slope</t>
  </si>
  <si>
    <t>CR1 sit to stand</t>
  </si>
  <si>
    <t>CR1 HR row</t>
  </si>
  <si>
    <t>CR1 HR bike</t>
  </si>
  <si>
    <t>CR1 HR walk</t>
  </si>
  <si>
    <t>CR1 HR sit to stand</t>
  </si>
  <si>
    <t>CR1 VO2 handbike</t>
  </si>
  <si>
    <t>CR1 HR handbike</t>
  </si>
  <si>
    <t>CR1 highest HR as % Hrpeak</t>
  </si>
  <si>
    <t>CR1 average VO2 as % max</t>
  </si>
  <si>
    <t>CR1 X-trainer</t>
  </si>
  <si>
    <t>No</t>
  </si>
  <si>
    <t>CRT-D</t>
  </si>
  <si>
    <t>CR2 highest METs (S)</t>
  </si>
  <si>
    <t>CR2 highest METs (I)</t>
  </si>
  <si>
    <t>CR2 average METs (S)</t>
  </si>
  <si>
    <t>CR2 average METs (I)</t>
  </si>
  <si>
    <t>CR2 HR rest</t>
  </si>
  <si>
    <t>CR2 highest HR</t>
  </si>
  <si>
    <t>CR2 VO2 rest</t>
  </si>
  <si>
    <t>CR2 highest VO2</t>
  </si>
  <si>
    <t>CR2 highest VO2 as % max</t>
  </si>
  <si>
    <t>CR2 RER average</t>
  </si>
  <si>
    <t>CR2 VO2 treadmill</t>
  </si>
  <si>
    <t>CR2 VO2 step</t>
  </si>
  <si>
    <t>CR2 HR treadmill</t>
  </si>
  <si>
    <t>CR2 HR active recovery</t>
  </si>
  <si>
    <t>CR2 VO2 bike</t>
  </si>
  <si>
    <t>CR2 HR bike</t>
  </si>
  <si>
    <t>CR2 HR warm up 5 min</t>
  </si>
  <si>
    <t>CR2 HR warm up 10 min</t>
  </si>
  <si>
    <t>CR2 HR row</t>
  </si>
  <si>
    <t>CR2 HR trampette</t>
  </si>
  <si>
    <t>CR2 VO2 trampette</t>
  </si>
  <si>
    <t>CR2 HR sit to stand</t>
  </si>
  <si>
    <t>CR2 HR average</t>
  </si>
  <si>
    <t>CR2 highest HR as % HRpeak</t>
  </si>
  <si>
    <t>CR2 HR aerobic weight-bearing</t>
  </si>
  <si>
    <t>mean</t>
  </si>
  <si>
    <t>sd</t>
  </si>
  <si>
    <t>whole warm up VO2 as % VO2pk</t>
  </si>
  <si>
    <t>final 5 min of warm up VO2 as % VO2pk</t>
  </si>
  <si>
    <t>HR average whole warm up as % HR peak</t>
  </si>
  <si>
    <t>HR warm up 5-10 min as % HRpeak</t>
  </si>
  <si>
    <t>CR1 HR average (circuits) as %HRpk</t>
  </si>
  <si>
    <t>CR1 HR aerobic weight-bearing as % HRpk</t>
  </si>
  <si>
    <t>CR1 HR aerobic non w-b as % HRpk</t>
  </si>
  <si>
    <t>CR1 HR active recovery as %HRpk</t>
  </si>
  <si>
    <t>RCP % measured VO2peak</t>
  </si>
  <si>
    <t>VO2pk + 10%, i.e. predicted treadmill value</t>
  </si>
  <si>
    <t>whole warm up VO2 as % predicted treadmill VO2pk</t>
  </si>
  <si>
    <t>CR1 average VO2 as % predicted treadmill VO2max</t>
  </si>
  <si>
    <t>CR average %VO2R</t>
  </si>
  <si>
    <t>median</t>
  </si>
  <si>
    <t>HRpk + 5%, i.e. predicted treadmill value</t>
  </si>
  <si>
    <t>CR1 METS warm up 5 min/mid point</t>
  </si>
  <si>
    <t>CR1 METS warm up 10 min/mid point</t>
  </si>
  <si>
    <t>CR2 corresponding highest RER</t>
  </si>
  <si>
    <t>CR2 VO2 warm up 5 min</t>
  </si>
  <si>
    <t>CR2 VO2 warm up 10 min</t>
  </si>
  <si>
    <t>CR2 VO2 average</t>
  </si>
  <si>
    <t>CR2 average VO2 as % max</t>
  </si>
  <si>
    <t>CR1 reaching/side step arm raise</t>
  </si>
  <si>
    <t>CR1 HR reaching/side step arm raise</t>
  </si>
  <si>
    <t>min</t>
  </si>
  <si>
    <t>max</t>
  </si>
  <si>
    <t>BMI</t>
  </si>
  <si>
    <t>Height (m)</t>
  </si>
  <si>
    <t>Aetiology</t>
  </si>
  <si>
    <t>Co-morbidity</t>
  </si>
  <si>
    <t>IHD</t>
  </si>
  <si>
    <t>DCM</t>
  </si>
  <si>
    <t>HT</t>
  </si>
  <si>
    <t>HT,Hyperchol</t>
  </si>
  <si>
    <t>HT, Gout, bladder/colon fistula</t>
  </si>
  <si>
    <t>T2DM</t>
  </si>
  <si>
    <t>CRT-P</t>
  </si>
  <si>
    <t>CR1 highest VO2 as % pk</t>
  </si>
  <si>
    <t>SD</t>
  </si>
  <si>
    <t>warm up</t>
  </si>
  <si>
    <t>highest</t>
  </si>
  <si>
    <t>average</t>
  </si>
  <si>
    <t>25th</t>
  </si>
  <si>
    <t>75th</t>
  </si>
  <si>
    <t>bottom</t>
  </si>
  <si>
    <t>2Q</t>
  </si>
  <si>
    <t>3Q</t>
  </si>
  <si>
    <t>whisker-</t>
  </si>
  <si>
    <t>whisker+</t>
  </si>
  <si>
    <t>offset</t>
  </si>
  <si>
    <t>VO2 as % CPET peak value</t>
  </si>
  <si>
    <t>Heart Rate as % CPET peak value</t>
  </si>
  <si>
    <t>B-blocker</t>
  </si>
  <si>
    <t>Diuretic</t>
  </si>
  <si>
    <t>Anti-arrhyth?</t>
  </si>
  <si>
    <t>Statin</t>
  </si>
  <si>
    <t>ivabradine - reduce HR in addition to or instead of BB without reducing BP</t>
  </si>
  <si>
    <t>C C blocker (verapamil/diltiazem/amlodipine)</t>
  </si>
  <si>
    <t>"Prazole" = anti stomach ulcer</t>
  </si>
  <si>
    <t>CR1 highest VO2 as %predicted t/m pk</t>
  </si>
  <si>
    <t>% predicted VO2peak</t>
  </si>
  <si>
    <t>CR2 HR step</t>
  </si>
  <si>
    <t>CR2 HR X trainer</t>
  </si>
  <si>
    <t xml:space="preserve">CR1 Steps per day </t>
  </si>
  <si>
    <t>CR1 Sit/lie hours (per day)</t>
  </si>
  <si>
    <t>CR1 Stand hours (per day)</t>
  </si>
  <si>
    <t>CR1 Step hours (per day)</t>
  </si>
  <si>
    <t>asthma, obesity</t>
  </si>
  <si>
    <t>metformin</t>
  </si>
  <si>
    <t>other 1</t>
  </si>
  <si>
    <t>other 2</t>
  </si>
  <si>
    <t>other 3</t>
  </si>
  <si>
    <t>none</t>
  </si>
  <si>
    <t>CR2 Sit/lie hours (per day)</t>
  </si>
  <si>
    <t>CR2 Stand hours (per day)</t>
  </si>
  <si>
    <t>CR2 Step hours (per day)</t>
  </si>
  <si>
    <t>CR2 MET.h per day</t>
  </si>
  <si>
    <t xml:space="preserve">CR2 Steps per day </t>
  </si>
  <si>
    <t>CR1 RPE min</t>
  </si>
  <si>
    <t>CR1 RPE max</t>
  </si>
  <si>
    <t>CR1 RPE average</t>
  </si>
  <si>
    <t>CR1 FS min</t>
  </si>
  <si>
    <t>CR1 FS max</t>
  </si>
  <si>
    <t>CR1 FS ave</t>
  </si>
  <si>
    <t>CR2 RPE min</t>
  </si>
  <si>
    <t>CR2 RPE average</t>
  </si>
  <si>
    <t>CR2 FS min</t>
  </si>
  <si>
    <t>CR2 FS max</t>
  </si>
  <si>
    <t>CR2 FS ave</t>
  </si>
  <si>
    <t>CR2 RPE max</t>
  </si>
  <si>
    <t>HT, hyperchol, AF, AR, Prostate cancer</t>
  </si>
  <si>
    <t>Paced or AF?</t>
  </si>
  <si>
    <t>CR1 METS step</t>
  </si>
  <si>
    <t>CR1 METS row</t>
  </si>
  <si>
    <t>CR1 METS handbike</t>
  </si>
  <si>
    <t>CR1 METS bike</t>
  </si>
  <si>
    <t>CR1 METS aerobic weight-bearing</t>
  </si>
  <si>
    <t>CR1 METS aerobic non w-b</t>
  </si>
  <si>
    <t>CR1 METS active recovery</t>
  </si>
  <si>
    <t>CR METS cool-down</t>
  </si>
  <si>
    <t>CR1 METS walk</t>
  </si>
  <si>
    <t>CR1 METSsit to stand</t>
  </si>
  <si>
    <t>CR1 METS reaching/side step arm raise</t>
  </si>
  <si>
    <t>CR1 METS X-trainer</t>
  </si>
  <si>
    <t>CR1 HR step</t>
  </si>
  <si>
    <t>CR1 HR X trainer</t>
  </si>
  <si>
    <t>CR1 HR recumbent x trainer</t>
  </si>
  <si>
    <t>CR1 METs whole warmup</t>
  </si>
  <si>
    <t>HT, myasthenia gravis, PAF</t>
  </si>
  <si>
    <r>
      <rPr>
        <sz val="11"/>
        <color rgb="FFFF0000"/>
        <rFont val="Calibri"/>
        <family val="2"/>
        <scheme val="minor"/>
      </rPr>
      <t>CRT?</t>
    </r>
    <r>
      <rPr>
        <sz val="11"/>
        <color theme="1"/>
        <rFont val="Calibri"/>
        <family val="2"/>
        <scheme val="minor"/>
      </rPr>
      <t>-P</t>
    </r>
  </si>
  <si>
    <t>Diastolic dysfunction, diabetes, bronchioectasis</t>
  </si>
  <si>
    <t>PAF</t>
  </si>
  <si>
    <t>70?</t>
  </si>
  <si>
    <t>CR1 Class Level CV:AR</t>
  </si>
  <si>
    <t>High 4:1</t>
  </si>
  <si>
    <t>Low 1:1</t>
  </si>
  <si>
    <t>High 3:1</t>
  </si>
  <si>
    <t>High 2:1</t>
  </si>
  <si>
    <t>RA, gout</t>
  </si>
  <si>
    <t>METs pk 1 (Standard 3.5)</t>
  </si>
  <si>
    <t>METs pk 1 (Individual resting MET)</t>
  </si>
  <si>
    <t>CR1FSrest</t>
  </si>
  <si>
    <t>High 2:1*</t>
  </si>
  <si>
    <t>*HFEI15 couldn't tolerate mask for whole CR class</t>
  </si>
  <si>
    <t>CR1 MET.h per day (1 MET.h = 1 kcal per kg)</t>
  </si>
  <si>
    <t>Estimated kcal/day if 1 MET.h = 1 kcal per kg</t>
  </si>
  <si>
    <r>
      <t>CRT</t>
    </r>
    <r>
      <rPr>
        <sz val="11"/>
        <color rgb="FFFF0000"/>
        <rFont val="Calibri"/>
        <family val="2"/>
        <scheme val="minor"/>
      </rPr>
      <t>-P</t>
    </r>
  </si>
  <si>
    <t xml:space="preserve"> VT PO 1 (unloaded = 10W)</t>
  </si>
  <si>
    <t>CR1 METS recumbrnt X-trainer</t>
  </si>
  <si>
    <t>Cardiac arrest, previous stroke</t>
  </si>
  <si>
    <t>anti-platelet</t>
  </si>
  <si>
    <t>anti-coagulant</t>
  </si>
  <si>
    <t>anti-convulsant</t>
  </si>
  <si>
    <t>opiod painkiller</t>
  </si>
  <si>
    <t>ACE-inhib (-april)</t>
  </si>
  <si>
    <t>ARB Angiotensin II receptor blocker (-sartan)</t>
  </si>
  <si>
    <t>Aldosterone blocker</t>
  </si>
  <si>
    <t>Nitrate</t>
  </si>
  <si>
    <t>Metformin</t>
  </si>
  <si>
    <t>CR1 BIKE VO2 as % max</t>
  </si>
  <si>
    <t>HR BIKE as % peak HR</t>
  </si>
  <si>
    <t xml:space="preserve">correlation </t>
  </si>
  <si>
    <t>VO2pk and CR VO2pk</t>
  </si>
  <si>
    <t>VO2pk and CR VO2average</t>
  </si>
  <si>
    <t>Meets VT-RCP range?</t>
  </si>
  <si>
    <t>NO RCP</t>
  </si>
  <si>
    <t>No RCP</t>
  </si>
  <si>
    <t>CR1 Ave whole warm up</t>
  </si>
  <si>
    <t>VO2pk + 11%, i.e. predicted treadmill value</t>
  </si>
  <si>
    <t>VT + 11%</t>
  </si>
  <si>
    <t>RCP+11%</t>
  </si>
  <si>
    <t>CR1 aerobic ALL</t>
  </si>
  <si>
    <t>CR1ave as %VT</t>
  </si>
  <si>
    <t>CR1ave as %VT+11%</t>
  </si>
  <si>
    <t>CR1ave as %RCP</t>
  </si>
  <si>
    <t>CR1ave as %RCP+11%</t>
  </si>
  <si>
    <t>T2diabetes</t>
  </si>
  <si>
    <t>Diastolic dysfunction, T2diabetes, bronchioectasis</t>
  </si>
  <si>
    <t>HR average whole warm up as % HR peak+5%</t>
  </si>
  <si>
    <t>CR1 HR aerobic weight-bearing as % HRpk+5%</t>
  </si>
  <si>
    <t>CR1 HR aerobic non w-b as % HRpk+5%</t>
  </si>
  <si>
    <t>VT %  VO2 Reserve</t>
  </si>
  <si>
    <t>RCP % VO2 Reserve</t>
  </si>
  <si>
    <t>Active recovery as % VO2peak</t>
  </si>
  <si>
    <t>cool-down as % peak</t>
  </si>
  <si>
    <t>cool-down as % peak+11%</t>
  </si>
  <si>
    <t>Active recovery as % VO2peak +11%</t>
  </si>
  <si>
    <t>CR1 VO2 aerobic weight-bearing as % VO2pk</t>
  </si>
  <si>
    <t>CR1 VO2 aerobic weight-bearing as % VO2pk+11%</t>
  </si>
  <si>
    <t>HR as %pk+11%</t>
  </si>
  <si>
    <t>HR cooldown as % peak</t>
  </si>
  <si>
    <t>HR cooldown as % pk +5%</t>
  </si>
  <si>
    <t>t-test w/b vs non</t>
  </si>
  <si>
    <t>for stats w/b + non w/b</t>
  </si>
  <si>
    <t>t-test wb+nwb vs AR</t>
  </si>
  <si>
    <t>For stats HR w/b plus HR non w/b</t>
  </si>
  <si>
    <t>t test HR wb + nonwb vs AR</t>
  </si>
  <si>
    <t>t test wb/nonwb</t>
  </si>
  <si>
    <t>t-test wu vs cd</t>
  </si>
  <si>
    <t>HR warm up average</t>
  </si>
  <si>
    <t>t test wu vs ave</t>
  </si>
  <si>
    <t>add Bonferroni</t>
  </si>
  <si>
    <t>t test ave vs c/d</t>
  </si>
  <si>
    <t>add Bonferroni correction, but will both still be sig</t>
  </si>
  <si>
    <t>correlation % Hrpeak and % VO2pk</t>
  </si>
  <si>
    <t>FS</t>
  </si>
  <si>
    <t>%VO2pk</t>
  </si>
  <si>
    <t>correlation FS and %pk pearson</t>
  </si>
  <si>
    <t>correlation FS and %pk spearman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</si>
</sst>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14">
    <xf numFmtId="0" fontId="0" fillId="0" borderId="0" xfId="0"/>
    <xf numFmtId="0" fontId="0" fillId="2" borderId="0" xfId="0" applyFill="1"/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164" fontId="0" fillId="2" borderId="0" xfId="0" applyNumberFormat="1" applyFill="1"/>
    <xf numFmtId="2" fontId="0" fillId="2" borderId="0" xfId="0" applyNumberFormat="1" applyFill="1"/>
    <xf numFmtId="2" fontId="0" fillId="0" borderId="0" xfId="0" applyNumberFormat="1"/>
    <xf numFmtId="9" fontId="0" fillId="0" borderId="0" xfId="1" applyFont="1"/>
    <xf numFmtId="0" fontId="3" fillId="2" borderId="0" xfId="0" applyFont="1" applyFill="1"/>
    <xf numFmtId="0" fontId="4" fillId="2" borderId="0" xfId="0" applyFont="1" applyFill="1"/>
    <xf numFmtId="0" fontId="1" fillId="3" borderId="0" xfId="0" applyFont="1" applyFill="1" applyAlignment="1">
      <alignment wrapText="1"/>
    </xf>
    <xf numFmtId="0" fontId="3" fillId="3" borderId="0" xfId="0" applyFont="1" applyFill="1"/>
    <xf numFmtId="0" fontId="0" fillId="3" borderId="0" xfId="0" applyFill="1"/>
    <xf numFmtId="0" fontId="4" fillId="3" borderId="0" xfId="0" applyFont="1" applyFill="1"/>
    <xf numFmtId="164" fontId="0" fillId="3" borderId="0" xfId="0" applyNumberFormat="1" applyFill="1"/>
    <xf numFmtId="0" fontId="1" fillId="4" borderId="0" xfId="0" applyFont="1" applyFill="1" applyAlignment="1">
      <alignment wrapText="1"/>
    </xf>
    <xf numFmtId="0" fontId="0" fillId="4" borderId="0" xfId="0" applyFill="1"/>
    <xf numFmtId="9" fontId="0" fillId="4" borderId="0" xfId="1" applyFont="1" applyFill="1"/>
    <xf numFmtId="164" fontId="0" fillId="4" borderId="0" xfId="0" applyNumberFormat="1" applyFill="1"/>
    <xf numFmtId="2" fontId="0" fillId="4" borderId="0" xfId="0" applyNumberFormat="1" applyFill="1"/>
    <xf numFmtId="1" fontId="0" fillId="4" borderId="0" xfId="0" applyNumberFormat="1" applyFill="1"/>
    <xf numFmtId="0" fontId="0" fillId="2" borderId="0" xfId="0" applyFill="1" applyAlignment="1">
      <alignment horizontal="right"/>
    </xf>
    <xf numFmtId="2" fontId="0" fillId="3" borderId="0" xfId="0" applyNumberFormat="1" applyFill="1"/>
    <xf numFmtId="164" fontId="0" fillId="0" borderId="0" xfId="0" applyNumberFormat="1"/>
    <xf numFmtId="0" fontId="1" fillId="5" borderId="0" xfId="0" applyFont="1" applyFill="1" applyAlignment="1">
      <alignment wrapText="1"/>
    </xf>
    <xf numFmtId="0" fontId="0" fillId="5" borderId="0" xfId="0" applyFill="1"/>
    <xf numFmtId="9" fontId="0" fillId="5" borderId="0" xfId="1" applyFont="1" applyFill="1"/>
    <xf numFmtId="164" fontId="0" fillId="5" borderId="0" xfId="0" applyNumberFormat="1" applyFill="1"/>
    <xf numFmtId="2" fontId="0" fillId="5" borderId="0" xfId="0" applyNumberFormat="1" applyFill="1"/>
    <xf numFmtId="1" fontId="0" fillId="5" borderId="0" xfId="0" applyNumberFormat="1" applyFill="1"/>
    <xf numFmtId="0" fontId="1" fillId="6" borderId="0" xfId="0" applyFont="1" applyFill="1" applyAlignment="1">
      <alignment wrapText="1"/>
    </xf>
    <xf numFmtId="2" fontId="0" fillId="6" borderId="0" xfId="0" applyNumberFormat="1" applyFill="1"/>
    <xf numFmtId="0" fontId="0" fillId="6" borderId="0" xfId="0" applyFill="1"/>
    <xf numFmtId="9" fontId="0" fillId="6" borderId="0" xfId="1" applyFont="1" applyFill="1"/>
    <xf numFmtId="1" fontId="0" fillId="6" borderId="0" xfId="0" applyNumberFormat="1" applyFill="1"/>
    <xf numFmtId="0" fontId="5" fillId="0" borderId="0" xfId="0" applyFont="1"/>
    <xf numFmtId="164" fontId="5" fillId="0" borderId="0" xfId="0" applyNumberFormat="1" applyFont="1"/>
    <xf numFmtId="9" fontId="5" fillId="0" borderId="0" xfId="1" applyFont="1"/>
    <xf numFmtId="1" fontId="5" fillId="0" borderId="0" xfId="0" applyNumberFormat="1" applyFont="1"/>
    <xf numFmtId="0" fontId="5" fillId="3" borderId="0" xfId="0" applyFont="1" applyFill="1"/>
    <xf numFmtId="0" fontId="5" fillId="5" borderId="0" xfId="0" applyFont="1" applyFill="1"/>
    <xf numFmtId="1" fontId="5" fillId="6" borderId="0" xfId="0" applyNumberFormat="1" applyFont="1" applyFill="1"/>
    <xf numFmtId="9" fontId="0" fillId="0" borderId="0" xfId="0" applyNumberFormat="1"/>
    <xf numFmtId="9" fontId="5" fillId="0" borderId="0" xfId="0" applyNumberFormat="1" applyFont="1"/>
    <xf numFmtId="9" fontId="0" fillId="3" borderId="0" xfId="1" applyFont="1" applyFill="1"/>
    <xf numFmtId="9" fontId="0" fillId="3" borderId="0" xfId="0" applyNumberFormat="1" applyFill="1"/>
    <xf numFmtId="0" fontId="0" fillId="5" borderId="0" xfId="0" applyFill="1" applyAlignment="1">
      <alignment horizontal="right"/>
    </xf>
    <xf numFmtId="1" fontId="0" fillId="5" borderId="0" xfId="0" applyNumberFormat="1" applyFill="1" applyAlignment="1">
      <alignment horizontal="right"/>
    </xf>
    <xf numFmtId="0" fontId="0" fillId="7" borderId="0" xfId="0" applyFill="1"/>
    <xf numFmtId="0" fontId="5" fillId="4" borderId="0" xfId="0" applyFont="1" applyFill="1"/>
    <xf numFmtId="0" fontId="1" fillId="8" borderId="0" xfId="0" applyFont="1" applyFill="1" applyAlignment="1">
      <alignment wrapText="1"/>
    </xf>
    <xf numFmtId="0" fontId="0" fillId="8" borderId="0" xfId="0" applyFill="1"/>
    <xf numFmtId="0" fontId="5" fillId="8" borderId="0" xfId="0" applyFont="1" applyFill="1"/>
    <xf numFmtId="1" fontId="0" fillId="0" borderId="0" xfId="2" applyNumberFormat="1" applyFont="1"/>
    <xf numFmtId="1" fontId="0" fillId="0" borderId="0" xfId="0" applyNumberFormat="1"/>
    <xf numFmtId="0" fontId="1" fillId="9" borderId="0" xfId="0" applyFont="1" applyFill="1" applyAlignment="1">
      <alignment wrapText="1"/>
    </xf>
    <xf numFmtId="0" fontId="0" fillId="9" borderId="0" xfId="0" applyFill="1"/>
    <xf numFmtId="164" fontId="0" fillId="9" borderId="0" xfId="0" applyNumberFormat="1" applyFill="1"/>
    <xf numFmtId="1" fontId="0" fillId="8" borderId="0" xfId="0" applyNumberFormat="1" applyFill="1"/>
    <xf numFmtId="1" fontId="5" fillId="8" borderId="0" xfId="0" applyNumberFormat="1" applyFont="1" applyFill="1"/>
    <xf numFmtId="9" fontId="0" fillId="4" borderId="0" xfId="1" applyNumberFormat="1" applyFont="1" applyFill="1"/>
    <xf numFmtId="164" fontId="0" fillId="7" borderId="0" xfId="0" applyNumberFormat="1" applyFill="1"/>
    <xf numFmtId="2" fontId="3" fillId="2" borderId="0" xfId="0" applyNumberFormat="1" applyFont="1" applyFill="1"/>
    <xf numFmtId="1" fontId="0" fillId="10" borderId="0" xfId="2" applyNumberFormat="1" applyFont="1" applyFill="1"/>
    <xf numFmtId="0" fontId="0" fillId="10" borderId="0" xfId="0" applyFill="1"/>
    <xf numFmtId="2" fontId="4" fillId="2" borderId="0" xfId="0" applyNumberFormat="1" applyFont="1" applyFill="1"/>
    <xf numFmtId="0" fontId="3" fillId="10" borderId="0" xfId="0" applyFont="1" applyFill="1"/>
    <xf numFmtId="0" fontId="4" fillId="10" borderId="0" xfId="0" applyFont="1" applyFill="1"/>
    <xf numFmtId="1" fontId="4" fillId="10" borderId="0" xfId="0" applyNumberFormat="1" applyFont="1" applyFill="1"/>
    <xf numFmtId="1" fontId="0" fillId="10" borderId="0" xfId="0" applyNumberFormat="1" applyFill="1"/>
    <xf numFmtId="9" fontId="0" fillId="10" borderId="0" xfId="1" applyFont="1" applyFill="1"/>
    <xf numFmtId="164" fontId="0" fillId="6" borderId="0" xfId="0" applyNumberFormat="1" applyFill="1"/>
    <xf numFmtId="164" fontId="5" fillId="2" borderId="0" xfId="0" applyNumberFormat="1" applyFont="1" applyFill="1"/>
    <xf numFmtId="164" fontId="5" fillId="6" borderId="0" xfId="0" applyNumberFormat="1" applyFont="1" applyFill="1"/>
    <xf numFmtId="2" fontId="5" fillId="2" borderId="0" xfId="0" applyNumberFormat="1" applyFont="1" applyFill="1"/>
    <xf numFmtId="1" fontId="5" fillId="2" borderId="0" xfId="0" applyNumberFormat="1" applyFont="1" applyFill="1"/>
    <xf numFmtId="1" fontId="0" fillId="2" borderId="0" xfId="0" applyNumberFormat="1" applyFill="1"/>
    <xf numFmtId="164" fontId="5" fillId="4" borderId="0" xfId="0" applyNumberFormat="1" applyFont="1" applyFill="1"/>
    <xf numFmtId="1" fontId="5" fillId="4" borderId="0" xfId="0" applyNumberFormat="1" applyFont="1" applyFill="1"/>
    <xf numFmtId="9" fontId="5" fillId="4" borderId="0" xfId="1" applyFont="1" applyFill="1"/>
    <xf numFmtId="9" fontId="5" fillId="6" borderId="0" xfId="1" applyFont="1" applyFill="1"/>
    <xf numFmtId="2" fontId="5" fillId="4" borderId="0" xfId="0" applyNumberFormat="1" applyFont="1" applyFill="1"/>
    <xf numFmtId="164" fontId="5" fillId="9" borderId="0" xfId="0" applyNumberFormat="1" applyFont="1" applyFill="1"/>
    <xf numFmtId="164" fontId="5" fillId="3" borderId="0" xfId="0" applyNumberFormat="1" applyFont="1" applyFill="1"/>
    <xf numFmtId="9" fontId="5" fillId="3" borderId="0" xfId="1" applyFont="1" applyFill="1"/>
    <xf numFmtId="2" fontId="5" fillId="3" borderId="0" xfId="0" applyNumberFormat="1" applyFont="1" applyFill="1"/>
    <xf numFmtId="1" fontId="5" fillId="3" borderId="0" xfId="0" applyNumberFormat="1" applyFont="1" applyFill="1"/>
    <xf numFmtId="164" fontId="3" fillId="0" borderId="0" xfId="0" applyNumberFormat="1" applyFont="1"/>
    <xf numFmtId="1" fontId="0" fillId="7" borderId="0" xfId="2" applyNumberFormat="1" applyFont="1" applyFill="1"/>
    <xf numFmtId="164" fontId="4" fillId="0" borderId="0" xfId="0" applyNumberFormat="1" applyFont="1"/>
    <xf numFmtId="0" fontId="0" fillId="11" borderId="0" xfId="0" applyFill="1"/>
    <xf numFmtId="9" fontId="0" fillId="11" borderId="0" xfId="1" applyFont="1" applyFill="1"/>
    <xf numFmtId="164" fontId="0" fillId="11" borderId="0" xfId="0" applyNumberFormat="1" applyFill="1"/>
    <xf numFmtId="0" fontId="6" fillId="0" borderId="0" xfId="0" applyFont="1"/>
    <xf numFmtId="1" fontId="0" fillId="7" borderId="0" xfId="0" applyNumberFormat="1" applyFill="1"/>
    <xf numFmtId="0" fontId="0" fillId="0" borderId="0" xfId="0" applyFill="1"/>
    <xf numFmtId="2" fontId="5" fillId="0" borderId="0" xfId="0" applyNumberFormat="1" applyFont="1"/>
    <xf numFmtId="0" fontId="1" fillId="10" borderId="0" xfId="0" applyFont="1" applyFill="1" applyAlignment="1">
      <alignment wrapText="1"/>
    </xf>
    <xf numFmtId="2" fontId="0" fillId="10" borderId="0" xfId="0" applyNumberFormat="1" applyFill="1"/>
    <xf numFmtId="164" fontId="3" fillId="10" borderId="0" xfId="0" applyNumberFormat="1" applyFont="1" applyFill="1"/>
    <xf numFmtId="164" fontId="0" fillId="10" borderId="0" xfId="0" applyNumberFormat="1" applyFill="1"/>
    <xf numFmtId="164" fontId="5" fillId="10" borderId="0" xfId="0" applyNumberFormat="1" applyFont="1" applyFill="1"/>
    <xf numFmtId="9" fontId="0" fillId="10" borderId="0" xfId="0" applyNumberFormat="1" applyFill="1"/>
    <xf numFmtId="9" fontId="0" fillId="9" borderId="0" xfId="1" applyFont="1" applyFill="1"/>
    <xf numFmtId="9" fontId="5" fillId="9" borderId="0" xfId="1" applyFont="1" applyFill="1"/>
    <xf numFmtId="1" fontId="0" fillId="9" borderId="0" xfId="0" applyNumberFormat="1" applyFill="1"/>
    <xf numFmtId="1" fontId="5" fillId="12" borderId="1" xfId="0" applyNumberFormat="1" applyFont="1" applyFill="1" applyBorder="1"/>
    <xf numFmtId="165" fontId="0" fillId="4" borderId="0" xfId="0" applyNumberFormat="1" applyFill="1"/>
    <xf numFmtId="0" fontId="1" fillId="13" borderId="0" xfId="0" applyFont="1" applyFill="1" applyAlignment="1">
      <alignment wrapText="1"/>
    </xf>
    <xf numFmtId="164" fontId="0" fillId="13" borderId="0" xfId="0" applyNumberFormat="1" applyFill="1"/>
    <xf numFmtId="164" fontId="5" fillId="13" borderId="0" xfId="0" applyNumberFormat="1" applyFont="1" applyFill="1"/>
    <xf numFmtId="0" fontId="0" fillId="13" borderId="0" xfId="0" applyFill="1"/>
    <xf numFmtId="165" fontId="0" fillId="13" borderId="0" xfId="0" applyNumberFormat="1" applyFill="1"/>
    <xf numFmtId="1" fontId="7" fillId="0" borderId="0" xfId="0" applyNumberFormat="1" applyFon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'All data'!$CY$1</c:f>
              <c:strCache>
                <c:ptCount val="1"/>
                <c:pt idx="0">
                  <c:v>CR1 HR average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trendline>
            <c:trendlineType val="linear"/>
            <c:dispRSqr val="1"/>
            <c:dispEq val="0"/>
            <c:trendlineLbl>
              <c:layout>
                <c:manualLayout>
                  <c:x val="8.3923884514435724E-4"/>
                  <c:y val="8.2974263633712464E-2"/>
                </c:manualLayout>
              </c:layout>
              <c:numFmt formatCode="General" sourceLinked="0"/>
            </c:trendlineLbl>
          </c:trendline>
          <c:xVal>
            <c:numRef>
              <c:f>'All data'!$AM$2:$AM$7</c:f>
              <c:numCache>
                <c:formatCode>General</c:formatCode>
                <c:ptCount val="6"/>
                <c:pt idx="0">
                  <c:v>154</c:v>
                </c:pt>
                <c:pt idx="1">
                  <c:v>86</c:v>
                </c:pt>
                <c:pt idx="2">
                  <c:v>112</c:v>
                </c:pt>
                <c:pt idx="3">
                  <c:v>98</c:v>
                </c:pt>
                <c:pt idx="4">
                  <c:v>120</c:v>
                </c:pt>
                <c:pt idx="5">
                  <c:v>155</c:v>
                </c:pt>
              </c:numCache>
            </c:numRef>
          </c:xVal>
          <c:yVal>
            <c:numRef>
              <c:f>'All data'!$CY$2:$CY$7</c:f>
              <c:numCache>
                <c:formatCode>General</c:formatCode>
                <c:ptCount val="6"/>
                <c:pt idx="0">
                  <c:v>130</c:v>
                </c:pt>
                <c:pt idx="1">
                  <c:v>89</c:v>
                </c:pt>
                <c:pt idx="2">
                  <c:v>85</c:v>
                </c:pt>
                <c:pt idx="3">
                  <c:v>89</c:v>
                </c:pt>
                <c:pt idx="4">
                  <c:v>116</c:v>
                </c:pt>
                <c:pt idx="5">
                  <c:v>126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406792"/>
        <c:axId val="371403656"/>
      </c:scatterChart>
      <c:valAx>
        <c:axId val="371406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1403656"/>
        <c:crosses val="autoZero"/>
        <c:crossBetween val="midCat"/>
      </c:valAx>
      <c:valAx>
        <c:axId val="371403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14067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'All data'!$CY$1</c:f>
              <c:strCache>
                <c:ptCount val="1"/>
                <c:pt idx="0">
                  <c:v>CR1 HR average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trendline>
            <c:trendlineType val="linear"/>
            <c:dispRSqr val="1"/>
            <c:dispEq val="0"/>
            <c:trendlineLbl>
              <c:layout>
                <c:manualLayout>
                  <c:x val="8.3923884514435724E-4"/>
                  <c:y val="8.2974263633712464E-2"/>
                </c:manualLayout>
              </c:layout>
              <c:numFmt formatCode="General" sourceLinked="0"/>
            </c:trendlineLbl>
          </c:trendline>
          <c:xVal>
            <c:numRef>
              <c:f>'All data'!$AM$2:$AM$7</c:f>
              <c:numCache>
                <c:formatCode>General</c:formatCode>
                <c:ptCount val="6"/>
                <c:pt idx="0">
                  <c:v>154</c:v>
                </c:pt>
                <c:pt idx="1">
                  <c:v>86</c:v>
                </c:pt>
                <c:pt idx="2">
                  <c:v>112</c:v>
                </c:pt>
                <c:pt idx="3">
                  <c:v>98</c:v>
                </c:pt>
                <c:pt idx="4">
                  <c:v>120</c:v>
                </c:pt>
                <c:pt idx="5">
                  <c:v>155</c:v>
                </c:pt>
              </c:numCache>
            </c:numRef>
          </c:xVal>
          <c:yVal>
            <c:numRef>
              <c:f>'All data'!$CY$2:$CY$7</c:f>
              <c:numCache>
                <c:formatCode>General</c:formatCode>
                <c:ptCount val="6"/>
                <c:pt idx="0">
                  <c:v>130</c:v>
                </c:pt>
                <c:pt idx="1">
                  <c:v>89</c:v>
                </c:pt>
                <c:pt idx="2">
                  <c:v>85</c:v>
                </c:pt>
                <c:pt idx="3">
                  <c:v>89</c:v>
                </c:pt>
                <c:pt idx="4">
                  <c:v>116</c:v>
                </c:pt>
                <c:pt idx="5">
                  <c:v>126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409536"/>
        <c:axId val="371404440"/>
      </c:scatterChart>
      <c:valAx>
        <c:axId val="37140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1404440"/>
        <c:crosses val="autoZero"/>
        <c:crossBetween val="midCat"/>
      </c:valAx>
      <c:valAx>
        <c:axId val="371404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14095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'METs poster'!$CB$1</c:f>
              <c:strCache>
                <c:ptCount val="1"/>
                <c:pt idx="0">
                  <c:v>CR1 HR average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trendline>
            <c:trendlineType val="linear"/>
            <c:dispRSqr val="1"/>
            <c:dispEq val="0"/>
            <c:trendlineLbl>
              <c:layout>
                <c:manualLayout>
                  <c:x val="8.3923884514435724E-4"/>
                  <c:y val="8.2974263633712464E-2"/>
                </c:manualLayout>
              </c:layout>
              <c:numFmt formatCode="General" sourceLinked="0"/>
            </c:trendlineLbl>
          </c:trendline>
          <c:xVal>
            <c:numRef>
              <c:f>'METs poster'!$AI$2:$AI$7</c:f>
              <c:numCache>
                <c:formatCode>General</c:formatCode>
                <c:ptCount val="6"/>
                <c:pt idx="0">
                  <c:v>154</c:v>
                </c:pt>
                <c:pt idx="1">
                  <c:v>86</c:v>
                </c:pt>
                <c:pt idx="2">
                  <c:v>112</c:v>
                </c:pt>
                <c:pt idx="3">
                  <c:v>98</c:v>
                </c:pt>
                <c:pt idx="4">
                  <c:v>120</c:v>
                </c:pt>
                <c:pt idx="5">
                  <c:v>155</c:v>
                </c:pt>
              </c:numCache>
            </c:numRef>
          </c:xVal>
          <c:yVal>
            <c:numRef>
              <c:f>'METs poster'!$CB$2:$CB$7</c:f>
              <c:numCache>
                <c:formatCode>General</c:formatCode>
                <c:ptCount val="6"/>
                <c:pt idx="0">
                  <c:v>130</c:v>
                </c:pt>
                <c:pt idx="1">
                  <c:v>89</c:v>
                </c:pt>
                <c:pt idx="2">
                  <c:v>85</c:v>
                </c:pt>
                <c:pt idx="3">
                  <c:v>89</c:v>
                </c:pt>
                <c:pt idx="4">
                  <c:v>116</c:v>
                </c:pt>
                <c:pt idx="5">
                  <c:v>126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404048"/>
        <c:axId val="371402872"/>
      </c:scatterChart>
      <c:valAx>
        <c:axId val="37140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1402872"/>
        <c:crosses val="autoZero"/>
        <c:crossBetween val="midCat"/>
      </c:valAx>
      <c:valAx>
        <c:axId val="371402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14040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'METs poster'!$CB$1</c:f>
              <c:strCache>
                <c:ptCount val="1"/>
                <c:pt idx="0">
                  <c:v>CR1 HR average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trendline>
            <c:trendlineType val="linear"/>
            <c:dispRSqr val="1"/>
            <c:dispEq val="0"/>
            <c:trendlineLbl>
              <c:layout>
                <c:manualLayout>
                  <c:x val="8.3923884514435724E-4"/>
                  <c:y val="8.2974263633712464E-2"/>
                </c:manualLayout>
              </c:layout>
              <c:numFmt formatCode="General" sourceLinked="0"/>
            </c:trendlineLbl>
          </c:trendline>
          <c:xVal>
            <c:numRef>
              <c:f>'METs poster'!$AI$2:$AI$7</c:f>
              <c:numCache>
                <c:formatCode>General</c:formatCode>
                <c:ptCount val="6"/>
                <c:pt idx="0">
                  <c:v>154</c:v>
                </c:pt>
                <c:pt idx="1">
                  <c:v>86</c:v>
                </c:pt>
                <c:pt idx="2">
                  <c:v>112</c:v>
                </c:pt>
                <c:pt idx="3">
                  <c:v>98</c:v>
                </c:pt>
                <c:pt idx="4">
                  <c:v>120</c:v>
                </c:pt>
                <c:pt idx="5">
                  <c:v>155</c:v>
                </c:pt>
              </c:numCache>
            </c:numRef>
          </c:xVal>
          <c:yVal>
            <c:numRef>
              <c:f>'METs poster'!$CB$2:$CB$7</c:f>
              <c:numCache>
                <c:formatCode>General</c:formatCode>
                <c:ptCount val="6"/>
                <c:pt idx="0">
                  <c:v>130</c:v>
                </c:pt>
                <c:pt idx="1">
                  <c:v>89</c:v>
                </c:pt>
                <c:pt idx="2">
                  <c:v>85</c:v>
                </c:pt>
                <c:pt idx="3">
                  <c:v>89</c:v>
                </c:pt>
                <c:pt idx="4">
                  <c:v>116</c:v>
                </c:pt>
                <c:pt idx="5">
                  <c:v>126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407184"/>
        <c:axId val="371407576"/>
      </c:scatterChart>
      <c:valAx>
        <c:axId val="37140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1407576"/>
        <c:crosses val="autoZero"/>
        <c:crossBetween val="midCat"/>
      </c:valAx>
      <c:valAx>
        <c:axId val="371407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14071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'All data'!$AP$1</c:f>
              <c:strCache>
                <c:ptCount val="1"/>
                <c:pt idx="0">
                  <c:v>CR1 highest VO2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'All data'!$S$2:$S$16</c:f>
              <c:numCache>
                <c:formatCode>0.0</c:formatCode>
                <c:ptCount val="15"/>
                <c:pt idx="0">
                  <c:v>13.73</c:v>
                </c:pt>
                <c:pt idx="1">
                  <c:v>14.08</c:v>
                </c:pt>
                <c:pt idx="2">
                  <c:v>9.65</c:v>
                </c:pt>
                <c:pt idx="3">
                  <c:v>9.69</c:v>
                </c:pt>
                <c:pt idx="4">
                  <c:v>14.89</c:v>
                </c:pt>
                <c:pt idx="5">
                  <c:v>17.97</c:v>
                </c:pt>
                <c:pt idx="6">
                  <c:v>15.22</c:v>
                </c:pt>
                <c:pt idx="7">
                  <c:v>12.22</c:v>
                </c:pt>
                <c:pt idx="8" formatCode="General">
                  <c:v>15.2</c:v>
                </c:pt>
                <c:pt idx="9" formatCode="General">
                  <c:v>8.8000000000000007</c:v>
                </c:pt>
                <c:pt idx="10" formatCode="General">
                  <c:v>14.5</c:v>
                </c:pt>
                <c:pt idx="11" formatCode="General">
                  <c:v>11.4</c:v>
                </c:pt>
                <c:pt idx="12" formatCode="General">
                  <c:v>15.6</c:v>
                </c:pt>
                <c:pt idx="13" formatCode="General">
                  <c:v>19.7</c:v>
                </c:pt>
                <c:pt idx="14" formatCode="General">
                  <c:v>17.600000000000001</c:v>
                </c:pt>
              </c:numCache>
            </c:numRef>
          </c:xVal>
          <c:yVal>
            <c:numRef>
              <c:f>'All data'!$AP$2:$AP$16</c:f>
              <c:numCache>
                <c:formatCode>0.0</c:formatCode>
                <c:ptCount val="15"/>
                <c:pt idx="0">
                  <c:v>16.690000000000001</c:v>
                </c:pt>
                <c:pt idx="1">
                  <c:v>13.91</c:v>
                </c:pt>
                <c:pt idx="2">
                  <c:v>10.97</c:v>
                </c:pt>
                <c:pt idx="3">
                  <c:v>10.75</c:v>
                </c:pt>
                <c:pt idx="4">
                  <c:v>16.09</c:v>
                </c:pt>
                <c:pt idx="5">
                  <c:v>15.25</c:v>
                </c:pt>
                <c:pt idx="6">
                  <c:v>17.93</c:v>
                </c:pt>
                <c:pt idx="7">
                  <c:v>16.61</c:v>
                </c:pt>
                <c:pt idx="8">
                  <c:v>18.5</c:v>
                </c:pt>
                <c:pt idx="9">
                  <c:v>12.8</c:v>
                </c:pt>
                <c:pt idx="10">
                  <c:v>14.4</c:v>
                </c:pt>
                <c:pt idx="11">
                  <c:v>16.399999999999999</c:v>
                </c:pt>
                <c:pt idx="12">
                  <c:v>18</c:v>
                </c:pt>
                <c:pt idx="13" formatCode="General">
                  <c:v>21.5</c:v>
                </c:pt>
                <c:pt idx="14" formatCode="General">
                  <c:v>18.3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406400"/>
        <c:axId val="373288832"/>
      </c:scatterChart>
      <c:valAx>
        <c:axId val="371406400"/>
        <c:scaling>
          <c:orientation val="minMax"/>
          <c:max val="24"/>
          <c:min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Incremental exercise test VO2peak (ml/kg/min)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288832"/>
        <c:crosses val="autoZero"/>
        <c:crossBetween val="midCat"/>
      </c:valAx>
      <c:valAx>
        <c:axId val="373288832"/>
        <c:scaling>
          <c:orientation val="minMax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VO2peak during cardiac rehabilitation exercise session (ml/kg/min)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406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'All data'!$AP$1</c:f>
              <c:strCache>
                <c:ptCount val="1"/>
                <c:pt idx="0">
                  <c:v>CR1 highest VO2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'All data'!$S$2:$S$16</c:f>
              <c:numCache>
                <c:formatCode>0.0</c:formatCode>
                <c:ptCount val="15"/>
                <c:pt idx="0">
                  <c:v>13.73</c:v>
                </c:pt>
                <c:pt idx="1">
                  <c:v>14.08</c:v>
                </c:pt>
                <c:pt idx="2">
                  <c:v>9.65</c:v>
                </c:pt>
                <c:pt idx="3">
                  <c:v>9.69</c:v>
                </c:pt>
                <c:pt idx="4">
                  <c:v>14.89</c:v>
                </c:pt>
                <c:pt idx="5">
                  <c:v>17.97</c:v>
                </c:pt>
                <c:pt idx="6">
                  <c:v>15.22</c:v>
                </c:pt>
                <c:pt idx="7">
                  <c:v>12.22</c:v>
                </c:pt>
                <c:pt idx="8" formatCode="General">
                  <c:v>15.2</c:v>
                </c:pt>
                <c:pt idx="9" formatCode="General">
                  <c:v>8.8000000000000007</c:v>
                </c:pt>
                <c:pt idx="10" formatCode="General">
                  <c:v>14.5</c:v>
                </c:pt>
                <c:pt idx="11" formatCode="General">
                  <c:v>11.4</c:v>
                </c:pt>
                <c:pt idx="12" formatCode="General">
                  <c:v>15.6</c:v>
                </c:pt>
                <c:pt idx="13" formatCode="General">
                  <c:v>19.7</c:v>
                </c:pt>
                <c:pt idx="14" formatCode="General">
                  <c:v>17.600000000000001</c:v>
                </c:pt>
              </c:numCache>
            </c:numRef>
          </c:xVal>
          <c:yVal>
            <c:numRef>
              <c:f>'All data'!$BE$1:$BE$16</c:f>
              <c:numCache>
                <c:formatCode>General</c:formatCode>
                <c:ptCount val="16"/>
                <c:pt idx="0">
                  <c:v>0</c:v>
                </c:pt>
                <c:pt idx="1">
                  <c:v>13.34</c:v>
                </c:pt>
                <c:pt idx="2">
                  <c:v>10.84</c:v>
                </c:pt>
                <c:pt idx="3">
                  <c:v>8.4700000000000006</c:v>
                </c:pt>
                <c:pt idx="4">
                  <c:v>7.64</c:v>
                </c:pt>
                <c:pt idx="5">
                  <c:v>11.52</c:v>
                </c:pt>
                <c:pt idx="6">
                  <c:v>10.31</c:v>
                </c:pt>
                <c:pt idx="7" formatCode="0.00">
                  <c:v>12.7</c:v>
                </c:pt>
                <c:pt idx="8">
                  <c:v>10.63</c:v>
                </c:pt>
                <c:pt idx="9">
                  <c:v>15.1</c:v>
                </c:pt>
                <c:pt idx="10">
                  <c:v>11.2</c:v>
                </c:pt>
                <c:pt idx="11">
                  <c:v>11.3</c:v>
                </c:pt>
                <c:pt idx="12">
                  <c:v>12.1</c:v>
                </c:pt>
                <c:pt idx="13">
                  <c:v>14.7</c:v>
                </c:pt>
                <c:pt idx="14">
                  <c:v>15.8</c:v>
                </c:pt>
                <c:pt idx="15">
                  <c:v>13.9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292752"/>
        <c:axId val="373293536"/>
      </c:scatterChart>
      <c:valAx>
        <c:axId val="373292752"/>
        <c:scaling>
          <c:orientation val="minMax"/>
          <c:max val="24"/>
          <c:min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Incremental exercise test VO2peak (ml/kg/min)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293536"/>
        <c:crosses val="autoZero"/>
        <c:crossBetween val="midCat"/>
      </c:valAx>
      <c:valAx>
        <c:axId val="373293536"/>
        <c:scaling>
          <c:orientation val="minMax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VO2</a:t>
                </a:r>
                <a:r>
                  <a:rPr lang="en-US" baseline="0"/>
                  <a:t> </a:t>
                </a:r>
                <a:r>
                  <a:rPr lang="en-US"/>
                  <a:t>during cardiac rehabilitation exercise session (ml/kg/min)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292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0</xdr:colOff>
      <xdr:row>37</xdr:row>
      <xdr:rowOff>0</xdr:rowOff>
    </xdr:from>
    <xdr:to>
      <xdr:col>75</xdr:col>
      <xdr:colOff>304800</xdr:colOff>
      <xdr:row>51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125</xdr:col>
      <xdr:colOff>0</xdr:colOff>
      <xdr:row>37</xdr:row>
      <xdr:rowOff>0</xdr:rowOff>
    </xdr:from>
    <xdr:to>
      <xdr:col>134</xdr:col>
      <xdr:colOff>304800</xdr:colOff>
      <xdr:row>51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0</xdr:colOff>
      <xdr:row>37</xdr:row>
      <xdr:rowOff>0</xdr:rowOff>
    </xdr:from>
    <xdr:to>
      <xdr:col>64</xdr:col>
      <xdr:colOff>304800</xdr:colOff>
      <xdr:row>51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96</xdr:col>
      <xdr:colOff>0</xdr:colOff>
      <xdr:row>37</xdr:row>
      <xdr:rowOff>0</xdr:rowOff>
    </xdr:from>
    <xdr:to>
      <xdr:col>103</xdr:col>
      <xdr:colOff>304800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4091" cy="606661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4091" cy="606661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124"/>
  <sheetViews>
    <sheetView tabSelected="1" workbookViewId="0">
      <pane ySplit="1" topLeftCell="A2" activePane="bottomLeft" state="frozen"/>
      <selection activeCell="D1" sqref="D1"/>
      <selection pane="bottomLeft" activeCell="DV18" sqref="DV18"/>
    </sheetView>
  </sheetViews>
  <sheetFormatPr defaultRowHeight="14.5" x14ac:dyDescent="0.35"/>
  <cols>
    <col min="3" max="3" width="13" customWidth="1"/>
    <col min="4" max="4" width="8.54296875" customWidth="1"/>
    <col min="19" max="19" width="9.1796875" style="1"/>
    <col min="20" max="20" width="9.1796875" style="32"/>
    <col min="21" max="21" width="9.1796875" style="1"/>
    <col min="22" max="22" width="10.54296875" style="1" bestFit="1" customWidth="1"/>
    <col min="23" max="39" width="9.1796875" style="1"/>
    <col min="40" max="40" width="9.1796875" style="32"/>
    <col min="41" max="41" width="9.1796875" style="16"/>
    <col min="42" max="42" width="11.453125" style="16" bestFit="1" customWidth="1"/>
    <col min="43" max="43" width="11.54296875" style="16" bestFit="1" customWidth="1"/>
    <col min="44" max="44" width="11.54296875" style="32" customWidth="1"/>
    <col min="45" max="55" width="9.1796875" style="16"/>
    <col min="56" max="56" width="9.1796875" style="32"/>
    <col min="57" max="57" width="9.1796875" style="16"/>
    <col min="58" max="58" width="7.453125" style="16" customWidth="1"/>
    <col min="59" max="59" width="9.1796875" style="16"/>
    <col min="60" max="65" width="9.1796875" style="32"/>
    <col min="66" max="73" width="9.1796875" style="16"/>
    <col min="74" max="74" width="9.1796875" style="56"/>
    <col min="75" max="82" width="9.1796875" style="16"/>
    <col min="83" max="83" width="9.1796875" style="111"/>
    <col min="84" max="95" width="9.1796875" style="16"/>
    <col min="96" max="96" width="6.81640625" style="16" customWidth="1"/>
    <col min="97" max="99" width="8" style="16" customWidth="1"/>
    <col min="100" max="103" width="9.1796875" style="16"/>
    <col min="104" max="104" width="9.54296875" style="16" bestFit="1" customWidth="1"/>
    <col min="105" max="105" width="9.54296875" style="16" customWidth="1"/>
    <col min="106" max="112" width="9.1796875" style="16"/>
    <col min="113" max="113" width="9.1796875" style="56"/>
    <col min="114" max="125" width="9.1796875" style="16"/>
    <col min="126" max="126" width="12" style="16" bestFit="1" customWidth="1"/>
    <col min="127" max="128" width="9.1796875" style="16"/>
    <col min="129" max="141" width="9.1796875" style="56"/>
    <col min="142" max="171" width="9.1796875" style="12"/>
    <col min="172" max="213" width="9.1796875" style="25"/>
    <col min="214" max="220" width="9.1796875" style="16"/>
    <col min="221" max="226" width="9.1796875" style="51"/>
    <col min="227" max="227" width="9.54296875" bestFit="1" customWidth="1"/>
  </cols>
  <sheetData>
    <row r="1" spans="1:238" s="2" customFormat="1" ht="91" x14ac:dyDescent="0.3">
      <c r="A1" s="2" t="s">
        <v>0</v>
      </c>
      <c r="B1" s="2" t="s">
        <v>153</v>
      </c>
      <c r="C1" s="2" t="s">
        <v>238</v>
      </c>
      <c r="D1" s="2" t="s">
        <v>154</v>
      </c>
      <c r="E1" s="2" t="s">
        <v>42</v>
      </c>
      <c r="F1" s="2" t="s">
        <v>16</v>
      </c>
      <c r="G1" s="2" t="s">
        <v>152</v>
      </c>
      <c r="H1" s="2" t="s">
        <v>15</v>
      </c>
      <c r="I1" s="2" t="s">
        <v>151</v>
      </c>
      <c r="J1" s="2" t="s">
        <v>11</v>
      </c>
      <c r="K1" s="2" t="s">
        <v>52</v>
      </c>
      <c r="L1" s="2" t="s">
        <v>45</v>
      </c>
      <c r="M1" s="2" t="s">
        <v>46</v>
      </c>
      <c r="N1" s="2" t="s">
        <v>48</v>
      </c>
      <c r="O1" s="2" t="s">
        <v>47</v>
      </c>
      <c r="P1" s="2" t="s">
        <v>133</v>
      </c>
      <c r="Q1" s="2" t="s">
        <v>286</v>
      </c>
      <c r="R1" s="2" t="s">
        <v>287</v>
      </c>
      <c r="S1" s="3" t="s">
        <v>1</v>
      </c>
      <c r="T1" s="30" t="s">
        <v>273</v>
      </c>
      <c r="U1" s="3" t="s">
        <v>244</v>
      </c>
      <c r="V1" s="3" t="s">
        <v>245</v>
      </c>
      <c r="W1" s="3" t="s">
        <v>17</v>
      </c>
      <c r="X1" s="3" t="s">
        <v>41</v>
      </c>
      <c r="Y1" s="3" t="s">
        <v>40</v>
      </c>
      <c r="Z1" s="3" t="s">
        <v>2</v>
      </c>
      <c r="AA1" s="3" t="s">
        <v>274</v>
      </c>
      <c r="AB1" s="3" t="s">
        <v>252</v>
      </c>
      <c r="AC1" s="3" t="s">
        <v>3</v>
      </c>
      <c r="AD1" s="3" t="s">
        <v>4</v>
      </c>
      <c r="AE1" s="3" t="s">
        <v>275</v>
      </c>
      <c r="AF1" s="3" t="s">
        <v>5</v>
      </c>
      <c r="AG1" s="3" t="s">
        <v>6</v>
      </c>
      <c r="AH1" s="3" t="s">
        <v>49</v>
      </c>
      <c r="AI1" s="3" t="s">
        <v>216</v>
      </c>
      <c r="AJ1" s="3" t="s">
        <v>7</v>
      </c>
      <c r="AK1" s="3" t="s">
        <v>8</v>
      </c>
      <c r="AL1" s="3" t="s">
        <v>9</v>
      </c>
      <c r="AM1" s="3" t="s">
        <v>10</v>
      </c>
      <c r="AN1" s="30" t="s">
        <v>139</v>
      </c>
      <c r="AO1" s="15" t="s">
        <v>12</v>
      </c>
      <c r="AP1" s="15" t="s">
        <v>31</v>
      </c>
      <c r="AQ1" s="15" t="s">
        <v>162</v>
      </c>
      <c r="AR1" s="30" t="s">
        <v>184</v>
      </c>
      <c r="AS1" s="15" t="s">
        <v>35</v>
      </c>
      <c r="AT1" s="15" t="s">
        <v>36</v>
      </c>
      <c r="AU1" s="15" t="s">
        <v>34</v>
      </c>
      <c r="AV1" s="15" t="s">
        <v>13</v>
      </c>
      <c r="AW1" s="15" t="s">
        <v>14</v>
      </c>
      <c r="AX1" s="15" t="s">
        <v>272</v>
      </c>
      <c r="AY1" s="15" t="s">
        <v>140</v>
      </c>
      <c r="AZ1" s="15" t="s">
        <v>141</v>
      </c>
      <c r="BA1" s="15" t="s">
        <v>232</v>
      </c>
      <c r="BB1" s="15" t="s">
        <v>126</v>
      </c>
      <c r="BC1" s="15" t="s">
        <v>125</v>
      </c>
      <c r="BD1" s="30" t="s">
        <v>135</v>
      </c>
      <c r="BE1" s="15" t="s">
        <v>22</v>
      </c>
      <c r="BF1" s="15" t="s">
        <v>269</v>
      </c>
      <c r="BG1" s="15" t="s">
        <v>137</v>
      </c>
      <c r="BH1" s="30" t="s">
        <v>94</v>
      </c>
      <c r="BI1" s="30" t="s">
        <v>136</v>
      </c>
      <c r="BJ1" s="30" t="s">
        <v>277</v>
      </c>
      <c r="BK1" s="30" t="s">
        <v>278</v>
      </c>
      <c r="BL1" s="30" t="s">
        <v>279</v>
      </c>
      <c r="BM1" s="30" t="s">
        <v>280</v>
      </c>
      <c r="BN1" s="15" t="s">
        <v>50</v>
      </c>
      <c r="BO1" s="15" t="s">
        <v>51</v>
      </c>
      <c r="BP1" s="15" t="s">
        <v>33</v>
      </c>
      <c r="BQ1" s="15" t="s">
        <v>70</v>
      </c>
      <c r="BR1" s="15" t="s">
        <v>71</v>
      </c>
      <c r="BS1" s="15" t="s">
        <v>72</v>
      </c>
      <c r="BT1" s="15" t="s">
        <v>91</v>
      </c>
      <c r="BU1" s="15" t="s">
        <v>73</v>
      </c>
      <c r="BV1" s="55" t="s">
        <v>264</v>
      </c>
      <c r="BW1" s="15" t="s">
        <v>86</v>
      </c>
      <c r="BX1" s="15" t="s">
        <v>147</v>
      </c>
      <c r="BY1" s="15" t="s">
        <v>95</v>
      </c>
      <c r="BZ1" s="15" t="s">
        <v>231</v>
      </c>
      <c r="CA1" s="15" t="s">
        <v>27</v>
      </c>
      <c r="CB1" s="15" t="s">
        <v>292</v>
      </c>
      <c r="CC1" s="15" t="s">
        <v>293</v>
      </c>
      <c r="CD1" s="15" t="s">
        <v>28</v>
      </c>
      <c r="CE1" s="108" t="s">
        <v>298</v>
      </c>
      <c r="CF1" s="15" t="s">
        <v>292</v>
      </c>
      <c r="CG1" s="15" t="s">
        <v>293</v>
      </c>
      <c r="CH1" s="15" t="s">
        <v>276</v>
      </c>
      <c r="CI1" s="15" t="s">
        <v>29</v>
      </c>
      <c r="CJ1" s="15" t="s">
        <v>288</v>
      </c>
      <c r="CK1" s="15" t="s">
        <v>291</v>
      </c>
      <c r="CL1" s="15" t="s">
        <v>30</v>
      </c>
      <c r="CM1" s="15" t="s">
        <v>289</v>
      </c>
      <c r="CN1" s="15" t="s">
        <v>290</v>
      </c>
      <c r="CO1" s="15" t="s">
        <v>18</v>
      </c>
      <c r="CP1" s="15" t="s">
        <v>32</v>
      </c>
      <c r="CQ1" s="15" t="s">
        <v>93</v>
      </c>
      <c r="CR1" s="15" t="s">
        <v>37</v>
      </c>
      <c r="CS1" s="15" t="s">
        <v>19</v>
      </c>
      <c r="CT1" s="15" t="s">
        <v>20</v>
      </c>
      <c r="CU1" s="15" t="s">
        <v>304</v>
      </c>
      <c r="CV1" s="15" t="s">
        <v>128</v>
      </c>
      <c r="CW1" s="15" t="s">
        <v>127</v>
      </c>
      <c r="CX1" s="15" t="s">
        <v>283</v>
      </c>
      <c r="CY1" s="15" t="s">
        <v>21</v>
      </c>
      <c r="CZ1" s="15" t="s">
        <v>129</v>
      </c>
      <c r="DA1" s="15" t="s">
        <v>294</v>
      </c>
      <c r="DB1" s="15" t="s">
        <v>89</v>
      </c>
      <c r="DC1" s="15" t="s">
        <v>229</v>
      </c>
      <c r="DD1" s="15" t="s">
        <v>230</v>
      </c>
      <c r="DE1" s="15" t="s">
        <v>231</v>
      </c>
      <c r="DF1" s="15" t="s">
        <v>87</v>
      </c>
      <c r="DG1" s="15" t="s">
        <v>92</v>
      </c>
      <c r="DH1" s="15" t="s">
        <v>88</v>
      </c>
      <c r="DI1" s="55" t="s">
        <v>265</v>
      </c>
      <c r="DJ1" s="15" t="s">
        <v>90</v>
      </c>
      <c r="DK1" s="15" t="s">
        <v>148</v>
      </c>
      <c r="DL1" s="15" t="s">
        <v>23</v>
      </c>
      <c r="DM1" s="15" t="s">
        <v>24</v>
      </c>
      <c r="DN1" s="15" t="s">
        <v>300</v>
      </c>
      <c r="DO1" s="15" t="s">
        <v>25</v>
      </c>
      <c r="DP1" s="15" t="s">
        <v>130</v>
      </c>
      <c r="DQ1" s="15" t="s">
        <v>284</v>
      </c>
      <c r="DR1" s="15" t="s">
        <v>131</v>
      </c>
      <c r="DS1" s="15" t="s">
        <v>285</v>
      </c>
      <c r="DT1" s="15" t="s">
        <v>132</v>
      </c>
      <c r="DU1" s="15" t="s">
        <v>132</v>
      </c>
      <c r="DV1" s="15" t="s">
        <v>26</v>
      </c>
      <c r="DW1" s="15" t="s">
        <v>295</v>
      </c>
      <c r="DX1" s="15" t="s">
        <v>296</v>
      </c>
      <c r="DY1" s="55" t="s">
        <v>225</v>
      </c>
      <c r="DZ1" s="55" t="s">
        <v>217</v>
      </c>
      <c r="EA1" s="55" t="s">
        <v>218</v>
      </c>
      <c r="EB1" s="55" t="s">
        <v>219</v>
      </c>
      <c r="EC1" s="55" t="s">
        <v>220</v>
      </c>
      <c r="ED1" s="55" t="s">
        <v>226</v>
      </c>
      <c r="EE1" s="55" t="s">
        <v>227</v>
      </c>
      <c r="EF1" s="55" t="s">
        <v>228</v>
      </c>
      <c r="EG1" s="55" t="s">
        <v>253</v>
      </c>
      <c r="EH1" s="55" t="s">
        <v>221</v>
      </c>
      <c r="EI1" s="55" t="s">
        <v>222</v>
      </c>
      <c r="EJ1" s="55" t="s">
        <v>223</v>
      </c>
      <c r="EK1" s="55" t="s">
        <v>224</v>
      </c>
      <c r="EL1" s="10" t="s">
        <v>15</v>
      </c>
      <c r="EM1" s="10" t="s">
        <v>74</v>
      </c>
      <c r="EN1" s="10" t="s">
        <v>53</v>
      </c>
      <c r="EO1" s="10" t="s">
        <v>52</v>
      </c>
      <c r="EP1" s="10" t="s">
        <v>54</v>
      </c>
      <c r="EQ1" s="10" t="s">
        <v>76</v>
      </c>
      <c r="ER1" s="10" t="s">
        <v>185</v>
      </c>
      <c r="ES1" s="10" t="s">
        <v>55</v>
      </c>
      <c r="ET1" s="10" t="s">
        <v>56</v>
      </c>
      <c r="EU1" s="10" t="s">
        <v>57</v>
      </c>
      <c r="EV1" s="10" t="s">
        <v>58</v>
      </c>
      <c r="EW1" s="10" t="s">
        <v>77</v>
      </c>
      <c r="EX1" s="10" t="s">
        <v>59</v>
      </c>
      <c r="EY1" s="10" t="s">
        <v>78</v>
      </c>
      <c r="EZ1" s="10" t="s">
        <v>60</v>
      </c>
      <c r="FA1" s="10" t="s">
        <v>79</v>
      </c>
      <c r="FB1" s="10" t="s">
        <v>61</v>
      </c>
      <c r="FC1" s="10" t="s">
        <v>81</v>
      </c>
      <c r="FD1" s="10" t="s">
        <v>62</v>
      </c>
      <c r="FE1" s="10" t="s">
        <v>80</v>
      </c>
      <c r="FF1" s="10" t="s">
        <v>63</v>
      </c>
      <c r="FG1" s="10" t="s">
        <v>64</v>
      </c>
      <c r="FH1" s="10" t="s">
        <v>65</v>
      </c>
      <c r="FI1" s="10" t="s">
        <v>83</v>
      </c>
      <c r="FJ1" s="10" t="s">
        <v>49</v>
      </c>
      <c r="FK1" s="10" t="s">
        <v>85</v>
      </c>
      <c r="FL1" s="10" t="s">
        <v>66</v>
      </c>
      <c r="FM1" s="10" t="s">
        <v>67</v>
      </c>
      <c r="FN1" s="10" t="s">
        <v>68</v>
      </c>
      <c r="FO1" s="10" t="s">
        <v>69</v>
      </c>
      <c r="FP1" s="24" t="s">
        <v>104</v>
      </c>
      <c r="FQ1" s="24" t="s">
        <v>105</v>
      </c>
      <c r="FR1" s="24" t="s">
        <v>106</v>
      </c>
      <c r="FS1" s="24" t="s">
        <v>98</v>
      </c>
      <c r="FT1" s="24" t="s">
        <v>99</v>
      </c>
      <c r="FU1" s="24" t="s">
        <v>142</v>
      </c>
      <c r="FV1" s="24" t="s">
        <v>143</v>
      </c>
      <c r="FW1" s="24" t="s">
        <v>144</v>
      </c>
      <c r="FX1" s="24" t="s">
        <v>145</v>
      </c>
      <c r="FY1" s="24" t="s">
        <v>146</v>
      </c>
      <c r="FZ1" s="24" t="s">
        <v>100</v>
      </c>
      <c r="GA1" s="24" t="s">
        <v>101</v>
      </c>
      <c r="GB1" s="24" t="s">
        <v>107</v>
      </c>
      <c r="GC1" s="24" t="s">
        <v>108</v>
      </c>
      <c r="GD1" s="24" t="s">
        <v>109</v>
      </c>
      <c r="GE1" s="24" t="s">
        <v>72</v>
      </c>
      <c r="GF1" s="24" t="s">
        <v>118</v>
      </c>
      <c r="GG1" s="24" t="s">
        <v>112</v>
      </c>
      <c r="GH1" s="24" t="s">
        <v>86</v>
      </c>
      <c r="GI1" s="24" t="s">
        <v>95</v>
      </c>
      <c r="GJ1" s="24" t="s">
        <v>27</v>
      </c>
      <c r="GK1" s="24" t="s">
        <v>28</v>
      </c>
      <c r="GL1" s="24" t="s">
        <v>29</v>
      </c>
      <c r="GM1" s="24" t="s">
        <v>30</v>
      </c>
      <c r="GN1" s="24" t="s">
        <v>102</v>
      </c>
      <c r="GO1" s="24" t="s">
        <v>103</v>
      </c>
      <c r="GP1" s="24" t="s">
        <v>121</v>
      </c>
      <c r="GQ1" s="24" t="s">
        <v>37</v>
      </c>
      <c r="GR1" s="24" t="s">
        <v>114</v>
      </c>
      <c r="GS1" s="24" t="s">
        <v>115</v>
      </c>
      <c r="GT1" s="24" t="s">
        <v>120</v>
      </c>
      <c r="GU1" s="24" t="s">
        <v>110</v>
      </c>
      <c r="GV1" s="24" t="s">
        <v>186</v>
      </c>
      <c r="GW1" s="24" t="s">
        <v>187</v>
      </c>
      <c r="GX1" s="24" t="s">
        <v>116</v>
      </c>
      <c r="GY1" s="24" t="s">
        <v>117</v>
      </c>
      <c r="GZ1" s="24" t="s">
        <v>113</v>
      </c>
      <c r="HA1" s="24" t="s">
        <v>119</v>
      </c>
      <c r="HB1" s="24" t="s">
        <v>122</v>
      </c>
      <c r="HC1" s="24" t="s">
        <v>24</v>
      </c>
      <c r="HD1" s="24" t="s">
        <v>111</v>
      </c>
      <c r="HE1" s="24" t="s">
        <v>26</v>
      </c>
      <c r="HF1" s="15" t="s">
        <v>203</v>
      </c>
      <c r="HG1" s="15" t="s">
        <v>204</v>
      </c>
      <c r="HH1" s="15" t="s">
        <v>205</v>
      </c>
      <c r="HI1" s="15" t="s">
        <v>246</v>
      </c>
      <c r="HJ1" s="15" t="s">
        <v>206</v>
      </c>
      <c r="HK1" s="15" t="s">
        <v>207</v>
      </c>
      <c r="HL1" s="15" t="s">
        <v>208</v>
      </c>
      <c r="HM1" s="50" t="s">
        <v>209</v>
      </c>
      <c r="HN1" s="50" t="s">
        <v>214</v>
      </c>
      <c r="HO1" s="50" t="s">
        <v>210</v>
      </c>
      <c r="HP1" s="50" t="s">
        <v>211</v>
      </c>
      <c r="HQ1" s="50" t="s">
        <v>212</v>
      </c>
      <c r="HR1" s="50" t="s">
        <v>213</v>
      </c>
      <c r="HS1" s="2" t="s">
        <v>188</v>
      </c>
      <c r="HT1" s="2" t="s">
        <v>189</v>
      </c>
      <c r="HU1" s="2" t="s">
        <v>190</v>
      </c>
      <c r="HV1" s="2" t="s">
        <v>191</v>
      </c>
      <c r="HW1" s="2" t="s">
        <v>249</v>
      </c>
      <c r="HX1" s="2" t="s">
        <v>250</v>
      </c>
      <c r="HY1" s="2" t="s">
        <v>202</v>
      </c>
      <c r="HZ1" s="2" t="s">
        <v>198</v>
      </c>
      <c r="IA1" s="2" t="s">
        <v>199</v>
      </c>
      <c r="IB1" s="2" t="s">
        <v>200</v>
      </c>
      <c r="IC1" s="2" t="s">
        <v>201</v>
      </c>
      <c r="ID1" s="2" t="s">
        <v>250</v>
      </c>
    </row>
    <row r="2" spans="1:238" x14ac:dyDescent="0.35">
      <c r="A2">
        <v>1</v>
      </c>
      <c r="B2" t="s">
        <v>155</v>
      </c>
      <c r="C2" t="s">
        <v>241</v>
      </c>
      <c r="E2" t="s">
        <v>43</v>
      </c>
      <c r="F2">
        <v>73</v>
      </c>
      <c r="G2">
        <v>1.83</v>
      </c>
      <c r="H2" s="23">
        <v>88.2</v>
      </c>
      <c r="I2" s="23">
        <f>H2/POWER(G2,2)</f>
        <v>26.3370061811341</v>
      </c>
      <c r="J2" s="6">
        <v>4.5</v>
      </c>
      <c r="K2" s="6">
        <v>3.81</v>
      </c>
      <c r="L2" s="6">
        <v>27.38</v>
      </c>
      <c r="M2" s="7">
        <f t="shared" ref="M2:M16" si="0">S2/L2</f>
        <v>0.50146092037983936</v>
      </c>
      <c r="N2" s="7">
        <f t="shared" ref="N2:N16" si="1">Z2/L2</f>
        <v>0.41088385682980277</v>
      </c>
      <c r="O2" s="7">
        <f t="shared" ref="O2:O9" si="2">Z2/S2</f>
        <v>0.81937363437727606</v>
      </c>
      <c r="P2" s="7">
        <f>AD2/S2</f>
        <v>0.86598689002185003</v>
      </c>
      <c r="Q2" s="7">
        <f>(Z2-K2)/(S2-K2)</f>
        <v>0.75</v>
      </c>
      <c r="R2" s="7">
        <f>(AD2-K2)/(S2-K2)</f>
        <v>0.81451612903225812</v>
      </c>
      <c r="S2" s="4">
        <v>13.73</v>
      </c>
      <c r="T2" s="71">
        <f>S2*111%</f>
        <v>15.240300000000001</v>
      </c>
      <c r="U2" s="4">
        <f t="shared" ref="U2:U9" si="3">S2/3.5</f>
        <v>3.922857142857143</v>
      </c>
      <c r="V2" s="4">
        <f t="shared" ref="V2:V16" si="4">S2/K2</f>
        <v>3.6036745406824147</v>
      </c>
      <c r="W2" s="1">
        <v>1.18</v>
      </c>
      <c r="X2" s="1">
        <v>110</v>
      </c>
      <c r="Y2" s="1">
        <f>11*60+20</f>
        <v>680</v>
      </c>
      <c r="Z2" s="1">
        <v>11.25</v>
      </c>
      <c r="AA2" s="5">
        <f>Z2*111%</f>
        <v>12.487500000000001</v>
      </c>
      <c r="AB2" s="1">
        <v>40</v>
      </c>
      <c r="AC2" s="1">
        <v>260</v>
      </c>
      <c r="AD2" s="1">
        <v>11.89</v>
      </c>
      <c r="AE2" s="4">
        <f>AD2*111%</f>
        <v>13.197900000000002</v>
      </c>
      <c r="AF2" s="1">
        <v>60</v>
      </c>
      <c r="AG2" s="1">
        <v>340</v>
      </c>
      <c r="AH2" s="1">
        <v>28.5</v>
      </c>
      <c r="AJ2" s="1">
        <v>65</v>
      </c>
      <c r="AK2" s="1">
        <v>106</v>
      </c>
      <c r="AL2" s="1">
        <v>115</v>
      </c>
      <c r="AM2" s="1">
        <v>154</v>
      </c>
      <c r="AN2" s="34">
        <f>AM2*105%</f>
        <v>161.70000000000002</v>
      </c>
      <c r="AO2" s="18">
        <v>3.89</v>
      </c>
      <c r="AP2" s="18">
        <v>16.690000000000001</v>
      </c>
      <c r="AQ2" s="17">
        <f t="shared" ref="AQ2:AQ16" si="5">AP2/S2</f>
        <v>1.2155863073561544</v>
      </c>
      <c r="AR2" s="33">
        <f t="shared" ref="AR2:AR16" si="6">AP2/T2</f>
        <v>1.0951227994199588</v>
      </c>
      <c r="AS2" s="18">
        <f t="shared" ref="AS2:AS16" si="7">AP2/3.5</f>
        <v>4.7685714285714287</v>
      </c>
      <c r="AT2" s="18">
        <f t="shared" ref="AT2:AT16" si="8">AP2/AO2</f>
        <v>4.2904884318766072</v>
      </c>
      <c r="AU2" s="19">
        <v>1.03</v>
      </c>
      <c r="AV2" s="16">
        <v>14.48</v>
      </c>
      <c r="AW2" s="16">
        <v>14.58</v>
      </c>
      <c r="AX2" s="18">
        <f>AVERAGE(AV2,AW2)</f>
        <v>14.530000000000001</v>
      </c>
      <c r="AY2" s="18">
        <f t="shared" ref="AY2:AY16" si="9">AV2/AO2</f>
        <v>3.7223650385604112</v>
      </c>
      <c r="AZ2" s="18">
        <f t="shared" ref="AZ2:AZ16" si="10">AW2/K2</f>
        <v>3.826771653543307</v>
      </c>
      <c r="BA2" s="18">
        <f>AVERAGE(AY2:AZ2)</f>
        <v>3.7745683460518591</v>
      </c>
      <c r="BB2" s="17">
        <f t="shared" ref="BB2:BB16" si="11">AW2/S2</f>
        <v>1.0619082301529497</v>
      </c>
      <c r="BC2" s="17">
        <f t="shared" ref="BC2:BC16" si="12">AVERAGE(AV2:AW2)/S2</f>
        <v>1.0582665695557174</v>
      </c>
      <c r="BD2" s="33">
        <f t="shared" ref="BD2:BD16" si="13">AVERAGE(AV2:AW2)/T2</f>
        <v>0.95339330590605176</v>
      </c>
      <c r="BE2" s="16">
        <v>13.34</v>
      </c>
      <c r="BF2" s="18" t="s">
        <v>38</v>
      </c>
      <c r="BG2" s="17">
        <f t="shared" ref="BG2:BG16" si="14">(BE2-K2)/(S2-K2)</f>
        <v>0.96068548387096764</v>
      </c>
      <c r="BH2" s="33">
        <f t="shared" ref="BH2:BH16" si="15">BE2/S2</f>
        <v>0.97159504734158775</v>
      </c>
      <c r="BI2" s="33">
        <f t="shared" ref="BI2:BI16" si="16">BE2/T2</f>
        <v>0.87531085346088977</v>
      </c>
      <c r="BJ2" s="33">
        <f>BE2/Z2</f>
        <v>1.1857777777777778</v>
      </c>
      <c r="BK2" s="33">
        <f>BE2/AA2</f>
        <v>1.0682682682682683</v>
      </c>
      <c r="BL2" s="33">
        <f>BE2/AD2</f>
        <v>1.121951219512195</v>
      </c>
      <c r="BM2" s="33">
        <f>BE2/AE2</f>
        <v>1.0107668644254009</v>
      </c>
      <c r="BN2" s="18">
        <f t="shared" ref="BN2:BN16" si="17">BE2/3.5</f>
        <v>3.8114285714285714</v>
      </c>
      <c r="BO2" s="18">
        <f t="shared" ref="BO2:BO16" si="18">BE2/K2</f>
        <v>3.501312335958005</v>
      </c>
      <c r="BP2" s="16">
        <v>0.99</v>
      </c>
      <c r="BR2" s="18">
        <f>AVERAGE(14.81,13.98)</f>
        <v>14.395</v>
      </c>
      <c r="BS2" s="18">
        <f>AVERAGE(13.82,13.99)</f>
        <v>13.905000000000001</v>
      </c>
      <c r="BT2" s="18"/>
      <c r="BU2" s="18">
        <v>12.45</v>
      </c>
      <c r="BV2" s="103">
        <f t="shared" ref="BV2:BV16" si="19">BU2/S2</f>
        <v>0.90677348871085206</v>
      </c>
      <c r="BW2" s="18">
        <v>11.71</v>
      </c>
      <c r="BX2" s="18">
        <v>12.11</v>
      </c>
      <c r="CA2" s="18">
        <f>AVERAGE(BR2,BW2,BX2)</f>
        <v>12.738333333333335</v>
      </c>
      <c r="CB2" s="17">
        <f>CA2/S2</f>
        <v>0.92777373148822539</v>
      </c>
      <c r="CC2" s="17">
        <f>CA2/T2</f>
        <v>0.83583219052993274</v>
      </c>
      <c r="CD2" s="18">
        <f>AVERAGE(BS2,BU2)</f>
        <v>13.1775</v>
      </c>
      <c r="CE2" s="109">
        <f>AVERAGE(CA2,CD2)</f>
        <v>12.957916666666668</v>
      </c>
      <c r="CF2" s="17">
        <f>CD2/S2</f>
        <v>0.95975965040058264</v>
      </c>
      <c r="CG2" s="17">
        <f>CD2/T2</f>
        <v>0.86464833369421856</v>
      </c>
      <c r="CH2" s="18">
        <f t="shared" ref="CH2:CH16" si="20">AVERAGE(CA2:CD2)</f>
        <v>6.9198598138378733</v>
      </c>
      <c r="CI2" s="18">
        <f>AVERAGE(14.5,13.73,11.89)</f>
        <v>13.373333333333335</v>
      </c>
      <c r="CJ2" s="17">
        <f>CI2/S2</f>
        <v>0.97402282107307603</v>
      </c>
      <c r="CK2" s="17">
        <f>CI2/T2</f>
        <v>0.87749803700277118</v>
      </c>
      <c r="CL2" s="18">
        <v>7.24</v>
      </c>
      <c r="CM2" s="17">
        <f>CL2/S2</f>
        <v>0.52731245447924258</v>
      </c>
      <c r="CN2" s="17">
        <f>CL2/T2</f>
        <v>0.47505626529661488</v>
      </c>
      <c r="CO2" s="16">
        <v>61</v>
      </c>
      <c r="CP2" s="16">
        <v>163</v>
      </c>
      <c r="CQ2" s="17">
        <f t="shared" ref="CQ2:CQ15" si="21">CP2/AM2</f>
        <v>1.0584415584415585</v>
      </c>
      <c r="CR2" s="16" t="s">
        <v>38</v>
      </c>
      <c r="CS2" s="16">
        <v>117</v>
      </c>
      <c r="CT2" s="16">
        <v>120</v>
      </c>
      <c r="CU2" s="20">
        <f>AVERAGE(CS2:CT2)</f>
        <v>118.5</v>
      </c>
      <c r="CV2" s="17">
        <f t="shared" ref="CV2:CV12" si="22">CT2/AM2</f>
        <v>0.77922077922077926</v>
      </c>
      <c r="CW2" s="17">
        <f t="shared" ref="CW2:CW12" si="23">AVERAGE(CS2:CT2)/AM2</f>
        <v>0.76948051948051943</v>
      </c>
      <c r="CX2" s="17">
        <f t="shared" ref="CX2:CX15" si="24">AVERAGE(CS2:CT2)/AN2</f>
        <v>0.73283858998144702</v>
      </c>
      <c r="CY2" s="16">
        <v>130</v>
      </c>
      <c r="CZ2" s="17">
        <f t="shared" ref="CZ2:CZ15" si="25">CY2/AM2</f>
        <v>0.8441558441558441</v>
      </c>
      <c r="DA2" s="17">
        <f>CY2/AN2</f>
        <v>0.80395794681508959</v>
      </c>
      <c r="DC2" s="16">
        <f>AVERAGE(129,137)</f>
        <v>133</v>
      </c>
      <c r="DF2" s="20">
        <f>AVERAGE(121,126)</f>
        <v>123.5</v>
      </c>
      <c r="DH2" s="16">
        <v>120</v>
      </c>
      <c r="DI2" s="103">
        <f t="shared" ref="DI2:DI15" si="26">DH2/AM2</f>
        <v>0.77922077922077926</v>
      </c>
      <c r="DJ2" s="16">
        <v>126</v>
      </c>
      <c r="DK2" s="16">
        <v>133</v>
      </c>
      <c r="DL2" s="20">
        <f>AVERAGE(DC2,DJ2:DK2)</f>
        <v>130.66666666666666</v>
      </c>
      <c r="DM2" s="20">
        <f>AVERAGE(DF2,DH2)</f>
        <v>121.75</v>
      </c>
      <c r="DN2" s="20">
        <f>AVERAGE(DL2,DM2)</f>
        <v>126.20833333333333</v>
      </c>
      <c r="DO2" s="20">
        <f>AVERAGE(129,142,132)</f>
        <v>134.33333333333334</v>
      </c>
      <c r="DP2" s="17">
        <f t="shared" ref="DP2:DP15" si="27">DL2/AM2</f>
        <v>0.8484848484848484</v>
      </c>
      <c r="DQ2" s="17">
        <f t="shared" ref="DQ2:DQ15" si="28">DL2/AN2</f>
        <v>0.80808080808080796</v>
      </c>
      <c r="DR2" s="17">
        <f t="shared" ref="DR2:DR15" si="29">DM2/AM2</f>
        <v>0.79058441558441561</v>
      </c>
      <c r="DS2" s="17">
        <f t="shared" ref="DS2:DS15" si="30">DM2/AN2</f>
        <v>0.75293753865182433</v>
      </c>
      <c r="DT2" s="17">
        <f t="shared" ref="DT2:DT15" si="31">DO2/AM2</f>
        <v>0.87229437229437234</v>
      </c>
      <c r="DU2" s="17">
        <f t="shared" ref="DU2:DU15" si="32">DO2/AN2</f>
        <v>0.83075654504225926</v>
      </c>
      <c r="DV2" s="16">
        <v>125</v>
      </c>
      <c r="DW2" s="17">
        <f t="shared" ref="DW2:DW15" si="33">DV2/AM2</f>
        <v>0.81168831168831168</v>
      </c>
      <c r="DX2" s="17">
        <f t="shared" ref="DX2:DX15" si="34">DV2/AN2</f>
        <v>0.77303648732220154</v>
      </c>
      <c r="DY2" s="56" t="s">
        <v>75</v>
      </c>
      <c r="DZ2" s="57">
        <f t="shared" ref="DZ2:DZ16" si="35">BR2/K2</f>
        <v>3.7782152230971127</v>
      </c>
      <c r="EA2" s="57">
        <f>BS2/K2</f>
        <v>3.6496062992125986</v>
      </c>
      <c r="EB2" s="56" t="s">
        <v>75</v>
      </c>
      <c r="EC2" s="57">
        <f t="shared" ref="EC2:EC16" si="36">BU2/K2</f>
        <v>3.2677165354330708</v>
      </c>
      <c r="ED2" s="57">
        <f>BW2/K2</f>
        <v>3.0734908136482941</v>
      </c>
      <c r="EE2" s="57">
        <f t="shared" ref="EE2:EE15" si="37">BX2/K2</f>
        <v>3.1784776902887137</v>
      </c>
      <c r="EF2" s="57"/>
      <c r="EG2" s="57"/>
      <c r="EH2" s="57">
        <f t="shared" ref="EH2:EH15" si="38">CA2/K2</f>
        <v>3.3433945756780408</v>
      </c>
      <c r="EI2" s="57">
        <f t="shared" ref="EI2:EI16" si="39">CD2/K2</f>
        <v>3.4586614173228347</v>
      </c>
      <c r="EJ2" s="57">
        <f t="shared" ref="EJ2:EJ15" si="40">CI2/K2</f>
        <v>3.5100612423447073</v>
      </c>
      <c r="EK2" s="57">
        <f t="shared" ref="EK2:EK15" si="41">CL2/K2</f>
        <v>1.9002624671916011</v>
      </c>
      <c r="EL2" s="13">
        <v>91.05</v>
      </c>
      <c r="EM2" s="13">
        <f>EL2-H2</f>
        <v>2.8499999999999943</v>
      </c>
      <c r="EN2" s="12">
        <v>3.81</v>
      </c>
      <c r="EO2" s="12">
        <v>3.81</v>
      </c>
      <c r="EP2" s="12">
        <v>13.57</v>
      </c>
      <c r="EQ2" s="14">
        <f>(EP2-S2)/S2*100</f>
        <v>-1.165331391114349</v>
      </c>
      <c r="ER2" s="44">
        <f>EP2/L2</f>
        <v>0.49561723886048215</v>
      </c>
      <c r="ES2" s="14">
        <f>EP2/3.5</f>
        <v>3.8771428571428572</v>
      </c>
      <c r="ET2" s="14">
        <f>EP2/EO2</f>
        <v>3.5616797900262469</v>
      </c>
      <c r="EU2" s="12">
        <v>1.33</v>
      </c>
      <c r="EV2" s="12">
        <v>120</v>
      </c>
      <c r="EW2" s="12">
        <f>EV2-X2</f>
        <v>10</v>
      </c>
      <c r="EX2" s="12">
        <f>11*60+30</f>
        <v>690</v>
      </c>
      <c r="EY2" s="12">
        <f>EX2-Y2</f>
        <v>10</v>
      </c>
      <c r="EZ2" s="22">
        <v>11</v>
      </c>
      <c r="FA2" s="12">
        <f>EZ2-Z2</f>
        <v>-0.25</v>
      </c>
      <c r="FB2" s="12">
        <v>60</v>
      </c>
      <c r="FC2" s="12">
        <f>FB2-AB2</f>
        <v>20</v>
      </c>
      <c r="FD2" s="12">
        <f>9*60</f>
        <v>540</v>
      </c>
      <c r="FE2" s="12">
        <f>FD2-AC2</f>
        <v>280</v>
      </c>
      <c r="FJ2" s="12">
        <v>35.24</v>
      </c>
      <c r="FK2" s="12">
        <f>FJ2-AH2</f>
        <v>6.740000000000002</v>
      </c>
      <c r="FL2" s="12">
        <v>60</v>
      </c>
      <c r="FM2" s="12">
        <v>107</v>
      </c>
      <c r="FO2" s="12">
        <v>147</v>
      </c>
      <c r="FR2" s="26"/>
      <c r="FS2" s="27"/>
      <c r="FT2" s="27"/>
      <c r="FY2" s="26"/>
      <c r="FZ2" s="27"/>
      <c r="GA2" s="27"/>
      <c r="GP2" s="26"/>
      <c r="HF2" s="16">
        <v>11</v>
      </c>
      <c r="HG2" s="16">
        <v>15</v>
      </c>
      <c r="HH2" s="20">
        <f>AVERAGE(13,11,13,15,13,13,13,13,13,15)</f>
        <v>13.2</v>
      </c>
      <c r="HI2" s="20"/>
      <c r="HJ2" s="16">
        <v>5</v>
      </c>
      <c r="HK2" s="16">
        <v>5</v>
      </c>
      <c r="HL2" s="16">
        <v>5</v>
      </c>
      <c r="HM2" s="64"/>
      <c r="HN2" s="64"/>
      <c r="HO2" s="64"/>
      <c r="HP2" s="64"/>
      <c r="HQ2" s="64"/>
      <c r="HR2" s="64"/>
      <c r="HS2" s="53">
        <v>8318</v>
      </c>
      <c r="HT2" s="48">
        <v>17.600000000000001</v>
      </c>
      <c r="HU2" s="48">
        <v>4.8</v>
      </c>
      <c r="HV2" s="48">
        <v>1.7</v>
      </c>
      <c r="HW2" s="61">
        <v>34</v>
      </c>
      <c r="HX2" s="94">
        <f>HW2*H2</f>
        <v>2998.8</v>
      </c>
      <c r="HY2" s="64"/>
      <c r="HZ2" s="64"/>
      <c r="IA2" s="64"/>
      <c r="IB2" s="64"/>
      <c r="IC2" s="64"/>
      <c r="ID2" s="64"/>
    </row>
    <row r="3" spans="1:238" x14ac:dyDescent="0.35">
      <c r="A3">
        <v>2</v>
      </c>
      <c r="B3" t="s">
        <v>156</v>
      </c>
      <c r="C3" t="s">
        <v>240</v>
      </c>
      <c r="D3" t="s">
        <v>281</v>
      </c>
      <c r="E3" t="s">
        <v>44</v>
      </c>
      <c r="F3">
        <v>74</v>
      </c>
      <c r="G3">
        <v>1.68</v>
      </c>
      <c r="H3" s="23">
        <v>78.2</v>
      </c>
      <c r="I3" s="23">
        <f t="shared" ref="I3:I16" si="42">H3/POWER(G3,2)</f>
        <v>27.706916099773249</v>
      </c>
      <c r="J3" s="6">
        <v>3.1</v>
      </c>
      <c r="K3" s="6">
        <v>2.56</v>
      </c>
      <c r="L3" s="6">
        <v>15.84</v>
      </c>
      <c r="M3" s="7">
        <f t="shared" si="0"/>
        <v>0.88888888888888895</v>
      </c>
      <c r="N3" s="7">
        <f t="shared" si="1"/>
        <v>0.4633838383838384</v>
      </c>
      <c r="O3" s="7">
        <f t="shared" si="2"/>
        <v>0.52130681818181812</v>
      </c>
      <c r="P3" s="7">
        <f>AD3/S3</f>
        <v>0.86576704545454541</v>
      </c>
      <c r="Q3" s="7">
        <f t="shared" ref="Q3:Q16" si="43">(Z3-K3)/(S3-K3)</f>
        <v>0.41493055555555552</v>
      </c>
      <c r="R3" s="7">
        <f t="shared" ref="R3:R16" si="44">(AD3-K3)/(S3-K3)</f>
        <v>0.8359375</v>
      </c>
      <c r="S3" s="4">
        <v>14.08</v>
      </c>
      <c r="T3" s="71">
        <f t="shared" ref="T3:T16" si="45">S3*111%</f>
        <v>15.628800000000002</v>
      </c>
      <c r="U3" s="4">
        <f t="shared" si="3"/>
        <v>4.0228571428571431</v>
      </c>
      <c r="V3" s="4">
        <f t="shared" si="4"/>
        <v>5.5</v>
      </c>
      <c r="W3" s="1">
        <v>1.27</v>
      </c>
      <c r="X3" s="1">
        <v>50</v>
      </c>
      <c r="Y3" s="1">
        <v>310</v>
      </c>
      <c r="Z3" s="1">
        <v>7.34</v>
      </c>
      <c r="AA3" s="5">
        <f t="shared" ref="AA3:AA16" si="46">Z3*111%</f>
        <v>8.1474000000000011</v>
      </c>
      <c r="AB3" s="1">
        <v>10</v>
      </c>
      <c r="AC3" s="9">
        <v>90</v>
      </c>
      <c r="AD3" s="1">
        <v>12.19</v>
      </c>
      <c r="AE3" s="4">
        <f t="shared" ref="AE3:AE16" si="47">AD3*111%</f>
        <v>13.530900000000001</v>
      </c>
      <c r="AF3" s="1">
        <v>40</v>
      </c>
      <c r="AG3" s="9">
        <f>4*60+20</f>
        <v>260</v>
      </c>
      <c r="AH3" s="1">
        <v>25.11</v>
      </c>
      <c r="AI3" s="1" t="s">
        <v>161</v>
      </c>
      <c r="AJ3" s="1">
        <v>66</v>
      </c>
      <c r="AK3" s="1">
        <v>75</v>
      </c>
      <c r="AL3" s="1">
        <v>81</v>
      </c>
      <c r="AM3" s="1">
        <v>86</v>
      </c>
      <c r="AN3" s="34">
        <f t="shared" ref="AN3:AN16" si="48">AM3*105%</f>
        <v>90.3</v>
      </c>
      <c r="AO3" s="18">
        <v>2.68</v>
      </c>
      <c r="AP3" s="18">
        <v>13.91</v>
      </c>
      <c r="AQ3" s="17">
        <f t="shared" si="5"/>
        <v>0.98792613636363635</v>
      </c>
      <c r="AR3" s="33">
        <f t="shared" si="6"/>
        <v>0.89002354627354618</v>
      </c>
      <c r="AS3" s="18">
        <f t="shared" si="7"/>
        <v>3.9742857142857142</v>
      </c>
      <c r="AT3" s="18">
        <f t="shared" si="8"/>
        <v>5.1902985074626864</v>
      </c>
      <c r="AU3" s="19">
        <v>0.95</v>
      </c>
      <c r="AV3" s="16">
        <v>10.23</v>
      </c>
      <c r="AW3" s="16">
        <v>10.68</v>
      </c>
      <c r="AX3" s="18">
        <f t="shared" ref="AX3:AX16" si="49">AVERAGE(AV3,AW3)</f>
        <v>10.455</v>
      </c>
      <c r="AY3" s="18">
        <f t="shared" si="9"/>
        <v>3.8171641791044775</v>
      </c>
      <c r="AZ3" s="18">
        <f t="shared" si="10"/>
        <v>4.171875</v>
      </c>
      <c r="BA3" s="18">
        <f t="shared" ref="BA3:BA13" si="50">AVERAGE(AY3:AZ3)</f>
        <v>3.9945195895522385</v>
      </c>
      <c r="BB3" s="17">
        <f t="shared" si="11"/>
        <v>0.75852272727272729</v>
      </c>
      <c r="BC3" s="17">
        <f t="shared" si="12"/>
        <v>0.74254261363636365</v>
      </c>
      <c r="BD3" s="33">
        <f t="shared" si="13"/>
        <v>0.66895730958230948</v>
      </c>
      <c r="BE3" s="16">
        <v>10.84</v>
      </c>
      <c r="BF3" s="18" t="s">
        <v>39</v>
      </c>
      <c r="BG3" s="17">
        <f t="shared" si="14"/>
        <v>0.71875</v>
      </c>
      <c r="BH3" s="33">
        <f t="shared" si="15"/>
        <v>0.76988636363636365</v>
      </c>
      <c r="BI3" s="33">
        <f t="shared" si="16"/>
        <v>0.69359131859131851</v>
      </c>
      <c r="BJ3" s="33">
        <f t="shared" ref="BJ3:BJ16" si="51">BE3/Z3</f>
        <v>1.4768392370572208</v>
      </c>
      <c r="BK3" s="33">
        <f t="shared" ref="BK3:BK16" si="52">BE3/AA3</f>
        <v>1.3304857991506491</v>
      </c>
      <c r="BL3" s="33">
        <f t="shared" ref="BL3:BL16" si="53">BE3/AD3</f>
        <v>0.88925348646431501</v>
      </c>
      <c r="BM3" s="33">
        <f t="shared" ref="BM3:BM16" si="54">BE3/AE3</f>
        <v>0.80112926708496845</v>
      </c>
      <c r="BN3" s="18">
        <f t="shared" si="17"/>
        <v>3.097142857142857</v>
      </c>
      <c r="BO3" s="18">
        <f t="shared" si="18"/>
        <v>4.234375</v>
      </c>
      <c r="BP3" s="16">
        <v>1.05</v>
      </c>
      <c r="BQ3" s="18">
        <v>12.77</v>
      </c>
      <c r="BR3" s="18">
        <v>11.25</v>
      </c>
      <c r="BS3" s="18">
        <v>10.83</v>
      </c>
      <c r="BU3" s="18">
        <v>12.01</v>
      </c>
      <c r="BV3" s="103">
        <f t="shared" si="19"/>
        <v>0.85298295454545447</v>
      </c>
      <c r="BW3" s="18">
        <v>9.48</v>
      </c>
      <c r="BX3" s="18">
        <v>12.53</v>
      </c>
      <c r="CA3" s="18">
        <f>AVERAGE(BQ3:BR3,BW3:BX3)</f>
        <v>11.5075</v>
      </c>
      <c r="CB3" s="17">
        <f t="shared" ref="CB3:CB16" si="55">CA3/S3</f>
        <v>0.81729403409090906</v>
      </c>
      <c r="CC3" s="17">
        <f t="shared" ref="CC3:CC16" si="56">CA3/T3</f>
        <v>0.73630093161343158</v>
      </c>
      <c r="CD3" s="18">
        <f>AVERAGE(BS3:BU3)</f>
        <v>11.42</v>
      </c>
      <c r="CE3" s="109">
        <f t="shared" ref="CE3:CE16" si="57">AVERAGE(CA3,CD3)</f>
        <v>11.463750000000001</v>
      </c>
      <c r="CF3" s="17">
        <f t="shared" ref="CF3:CF16" si="58">CD3/S3</f>
        <v>0.81107954545454541</v>
      </c>
      <c r="CG3" s="17">
        <f t="shared" ref="CG3:CG16" si="59">CD3/T3</f>
        <v>0.73070229320229307</v>
      </c>
      <c r="CH3" s="18">
        <f t="shared" si="20"/>
        <v>6.120273741426085</v>
      </c>
      <c r="CI3" s="18">
        <f>AVERAGE(9.62,10.87,10.97,8.52)</f>
        <v>9.995000000000001</v>
      </c>
      <c r="CJ3" s="17">
        <f t="shared" ref="CJ3:CJ16" si="60">CI3/S3</f>
        <v>0.70987215909090917</v>
      </c>
      <c r="CK3" s="17">
        <f t="shared" ref="CK3:CK16" si="61">CI3/T3</f>
        <v>0.63952446764946769</v>
      </c>
      <c r="CL3" s="18">
        <v>7.42</v>
      </c>
      <c r="CM3" s="17">
        <f t="shared" ref="CM3:CM15" si="62">CL3/S3</f>
        <v>0.52698863636363635</v>
      </c>
      <c r="CN3" s="17">
        <f t="shared" ref="CN3:CN15" si="63">CL3/T3</f>
        <v>0.47476453726453721</v>
      </c>
      <c r="CO3" s="16">
        <v>66</v>
      </c>
      <c r="CP3" s="16">
        <v>94</v>
      </c>
      <c r="CQ3" s="17">
        <f t="shared" si="21"/>
        <v>1.0930232558139534</v>
      </c>
      <c r="CR3" s="16" t="s">
        <v>39</v>
      </c>
      <c r="CS3" s="16">
        <v>85</v>
      </c>
      <c r="CT3" s="16">
        <v>86</v>
      </c>
      <c r="CU3" s="20">
        <f t="shared" ref="CU3:CU15" si="64">AVERAGE(CS3:CT3)</f>
        <v>85.5</v>
      </c>
      <c r="CV3" s="17">
        <f t="shared" si="22"/>
        <v>1</v>
      </c>
      <c r="CW3" s="17">
        <f t="shared" si="23"/>
        <v>0.9941860465116279</v>
      </c>
      <c r="CX3" s="17">
        <f t="shared" si="24"/>
        <v>0.94684385382059799</v>
      </c>
      <c r="CY3" s="16">
        <v>89</v>
      </c>
      <c r="CZ3" s="17">
        <f t="shared" si="25"/>
        <v>1.0348837209302326</v>
      </c>
      <c r="DA3" s="17">
        <f t="shared" ref="DA3:DA15" si="65">CY3/AN3</f>
        <v>0.98560354374307868</v>
      </c>
      <c r="DB3" s="16">
        <v>91</v>
      </c>
      <c r="DC3" s="16">
        <v>87</v>
      </c>
      <c r="DF3" s="16">
        <v>89</v>
      </c>
      <c r="DH3" s="16">
        <v>89</v>
      </c>
      <c r="DI3" s="103">
        <f t="shared" si="26"/>
        <v>1.0348837209302326</v>
      </c>
      <c r="DJ3" s="16">
        <v>87</v>
      </c>
      <c r="DK3" s="16">
        <v>93</v>
      </c>
      <c r="DL3" s="20">
        <f>AVERAGE(DB3:DC3,DJ3:DK3)</f>
        <v>89.5</v>
      </c>
      <c r="DM3" s="16">
        <f>AVERAGE(DF3:DH3)</f>
        <v>89</v>
      </c>
      <c r="DN3" s="20">
        <f t="shared" ref="DN3:DN15" si="66">AVERAGE(DL3,DM3)</f>
        <v>89.25</v>
      </c>
      <c r="DO3" s="20">
        <f>AVERAGE(85,87,90,88)</f>
        <v>87.5</v>
      </c>
      <c r="DP3" s="17">
        <f t="shared" si="27"/>
        <v>1.0406976744186047</v>
      </c>
      <c r="DQ3" s="17">
        <f t="shared" si="28"/>
        <v>0.99114064230343302</v>
      </c>
      <c r="DR3" s="17">
        <f t="shared" si="29"/>
        <v>1.0348837209302326</v>
      </c>
      <c r="DS3" s="17">
        <f t="shared" si="30"/>
        <v>0.98560354374307868</v>
      </c>
      <c r="DT3" s="17">
        <f t="shared" si="31"/>
        <v>1.0174418604651163</v>
      </c>
      <c r="DU3" s="17">
        <f t="shared" si="32"/>
        <v>0.96899224806201556</v>
      </c>
      <c r="DV3" s="16">
        <v>82</v>
      </c>
      <c r="DW3" s="17">
        <f t="shared" si="33"/>
        <v>0.95348837209302328</v>
      </c>
      <c r="DX3" s="17">
        <f t="shared" si="34"/>
        <v>0.90808416389811741</v>
      </c>
      <c r="DY3" s="57">
        <f t="shared" ref="DY3:DY16" si="67">BQ3/K3</f>
        <v>4.98828125</v>
      </c>
      <c r="DZ3" s="57">
        <f t="shared" si="35"/>
        <v>4.39453125</v>
      </c>
      <c r="EA3" s="57">
        <f>BS3/K3</f>
        <v>4.23046875</v>
      </c>
      <c r="EB3" s="57"/>
      <c r="EC3" s="57">
        <f t="shared" si="36"/>
        <v>4.69140625</v>
      </c>
      <c r="ED3" s="57">
        <f>BW3/K3</f>
        <v>3.703125</v>
      </c>
      <c r="EE3" s="57">
        <f t="shared" si="37"/>
        <v>4.89453125</v>
      </c>
      <c r="EF3" s="57"/>
      <c r="EG3" s="57"/>
      <c r="EH3" s="57">
        <f t="shared" si="38"/>
        <v>4.4951171875</v>
      </c>
      <c r="EI3" s="57">
        <f t="shared" si="39"/>
        <v>4.4609375</v>
      </c>
      <c r="EJ3" s="57">
        <f t="shared" si="40"/>
        <v>3.9042968750000004</v>
      </c>
      <c r="EK3" s="57">
        <f t="shared" si="41"/>
        <v>2.8984375</v>
      </c>
      <c r="EL3" s="13">
        <v>78.900000000000006</v>
      </c>
      <c r="EM3" s="13">
        <f>EL3-H3</f>
        <v>0.70000000000000284</v>
      </c>
      <c r="EN3" s="12">
        <v>2.56</v>
      </c>
      <c r="EO3" s="12">
        <v>2.56</v>
      </c>
      <c r="EP3" s="12">
        <v>12.27</v>
      </c>
      <c r="EQ3" s="14">
        <f>(EP3-S3)/S3*100</f>
        <v>-12.85511363636364</v>
      </c>
      <c r="ER3" s="44">
        <f>EP3/L3</f>
        <v>0.77462121212121215</v>
      </c>
      <c r="ES3" s="14">
        <f>EP3/3.5</f>
        <v>3.5057142857142858</v>
      </c>
      <c r="ET3" s="14">
        <f>EP3/EO3</f>
        <v>4.79296875</v>
      </c>
      <c r="EU3" s="12">
        <v>1.1100000000000001</v>
      </c>
      <c r="EV3" s="12">
        <v>60</v>
      </c>
      <c r="EW3" s="12">
        <f>EV3-X3</f>
        <v>10</v>
      </c>
      <c r="EX3" s="12">
        <v>330</v>
      </c>
      <c r="EY3" s="12">
        <f>EX3-Y3</f>
        <v>20</v>
      </c>
      <c r="EZ3" s="12">
        <v>7.16</v>
      </c>
      <c r="FA3" s="12">
        <f>EZ3-Z3</f>
        <v>-0.17999999999999972</v>
      </c>
      <c r="FB3" s="12">
        <v>30</v>
      </c>
      <c r="FC3" s="12">
        <v>10</v>
      </c>
      <c r="FD3" s="12">
        <v>170</v>
      </c>
      <c r="FE3" s="12">
        <f>FD3-AC3</f>
        <v>80</v>
      </c>
      <c r="FF3" s="12">
        <v>12.01</v>
      </c>
      <c r="FG3" s="12">
        <v>50</v>
      </c>
      <c r="FH3" s="12">
        <v>290</v>
      </c>
      <c r="FI3" s="12">
        <f>FH3-AG3</f>
        <v>30</v>
      </c>
      <c r="FJ3" s="12">
        <v>26.17</v>
      </c>
      <c r="FK3" s="12">
        <f>FJ3-AH3</f>
        <v>1.0600000000000023</v>
      </c>
      <c r="FL3" s="12">
        <v>66</v>
      </c>
      <c r="FM3" s="12">
        <v>76</v>
      </c>
      <c r="FN3" s="12">
        <v>85</v>
      </c>
      <c r="FO3" s="12">
        <v>87</v>
      </c>
      <c r="FP3" s="28">
        <v>2.2000000000000002</v>
      </c>
      <c r="FQ3" s="25">
        <v>14.77</v>
      </c>
      <c r="FR3" s="26">
        <f>FQ3/EP3</f>
        <v>1.2037489812550937</v>
      </c>
      <c r="FS3" s="27">
        <f>FQ3/3.5</f>
        <v>4.22</v>
      </c>
      <c r="FT3" s="27">
        <f>FQ3/FP3</f>
        <v>6.713636363636363</v>
      </c>
      <c r="FU3" s="25">
        <v>1.1299999999999999</v>
      </c>
      <c r="FV3" s="25">
        <v>11.37</v>
      </c>
      <c r="FW3" s="25">
        <v>12.92</v>
      </c>
      <c r="FX3" s="25">
        <v>12.21</v>
      </c>
      <c r="FY3" s="26">
        <f>FX3/EP3</f>
        <v>0.99511002444987784</v>
      </c>
      <c r="FZ3" s="27">
        <f>FX3/3.5</f>
        <v>3.4885714285714289</v>
      </c>
      <c r="GA3" s="27">
        <f>FX3/FP3</f>
        <v>5.55</v>
      </c>
      <c r="GB3" s="25">
        <v>1.1299999999999999</v>
      </c>
      <c r="GC3" s="25">
        <v>13.5</v>
      </c>
      <c r="GD3" s="25">
        <v>12.62</v>
      </c>
      <c r="GE3" s="25">
        <v>11.48</v>
      </c>
      <c r="GF3" s="25">
        <v>12.42</v>
      </c>
      <c r="GG3" s="25">
        <v>12.05</v>
      </c>
      <c r="GH3" s="25">
        <v>12.72</v>
      </c>
      <c r="GJ3" s="28">
        <f>AVERAGE(GC3,GD3,GF3,GH3,GI3)</f>
        <v>12.815</v>
      </c>
      <c r="GK3" s="28">
        <f>AVERAGE(GG3,GE3)</f>
        <v>11.765000000000001</v>
      </c>
      <c r="GL3" s="28">
        <f>AVERAGE(12.22,11.9,11.97)</f>
        <v>12.030000000000001</v>
      </c>
      <c r="GM3" s="25">
        <v>9.34</v>
      </c>
      <c r="GN3" s="25">
        <v>62</v>
      </c>
      <c r="GO3" s="25">
        <v>111</v>
      </c>
      <c r="GP3" s="26">
        <f>GO3/FO3</f>
        <v>1.2758620689655173</v>
      </c>
      <c r="GQ3" s="25" t="s">
        <v>39</v>
      </c>
      <c r="GR3" s="25">
        <v>93</v>
      </c>
      <c r="GS3" s="25">
        <v>93</v>
      </c>
      <c r="GT3" s="25">
        <v>97</v>
      </c>
      <c r="GU3" s="25">
        <v>100</v>
      </c>
      <c r="GV3" s="25">
        <v>102</v>
      </c>
      <c r="GX3" s="25">
        <v>94</v>
      </c>
      <c r="GY3" s="25">
        <v>101</v>
      </c>
      <c r="GZ3" s="25">
        <v>90</v>
      </c>
      <c r="HA3" s="25">
        <v>101</v>
      </c>
      <c r="HB3" s="29">
        <f>AVERAGE(GU3:GW3,GY3,HA3)</f>
        <v>101</v>
      </c>
      <c r="HC3" s="25">
        <f>AVERAGE(GX3,GZ3)</f>
        <v>92</v>
      </c>
      <c r="HD3" s="29">
        <f>AVERAGE(98,99,103)</f>
        <v>100</v>
      </c>
      <c r="HE3" s="25">
        <v>95</v>
      </c>
      <c r="HF3" s="16">
        <v>10</v>
      </c>
      <c r="HG3" s="16">
        <v>13</v>
      </c>
      <c r="HH3" s="20">
        <f>AVERAGE(11,11,13,13,13,10,13)</f>
        <v>12</v>
      </c>
      <c r="HI3" s="20"/>
      <c r="HJ3" s="16">
        <v>4</v>
      </c>
      <c r="HK3" s="16">
        <v>5</v>
      </c>
      <c r="HL3" s="16">
        <v>5</v>
      </c>
      <c r="HM3" s="51">
        <v>13</v>
      </c>
      <c r="HN3" s="51">
        <v>17</v>
      </c>
      <c r="HO3" s="51">
        <f>AVERAGE(13,17,13,13)</f>
        <v>14</v>
      </c>
      <c r="HP3" s="51">
        <v>4</v>
      </c>
      <c r="HQ3" s="51">
        <v>5</v>
      </c>
      <c r="HR3" s="58">
        <f>AVERAGE(4,5,5,5)</f>
        <v>4.75</v>
      </c>
      <c r="HS3" s="53">
        <v>1650</v>
      </c>
      <c r="HT3">
        <v>20.399999999999999</v>
      </c>
      <c r="HU3">
        <v>3.1</v>
      </c>
      <c r="HV3">
        <v>0.41</v>
      </c>
      <c r="HW3">
        <v>31.1</v>
      </c>
      <c r="HX3" s="94">
        <f>HW3*H3</f>
        <v>2432.02</v>
      </c>
      <c r="HY3">
        <v>2993</v>
      </c>
      <c r="HZ3">
        <v>18.100000000000001</v>
      </c>
      <c r="IA3">
        <v>5.0999999999999996</v>
      </c>
      <c r="IB3">
        <v>0.71</v>
      </c>
      <c r="IC3" s="23">
        <v>32</v>
      </c>
      <c r="ID3" s="94">
        <f>IC3*EL3</f>
        <v>2524.8000000000002</v>
      </c>
    </row>
    <row r="4" spans="1:238" ht="14.25" customHeight="1" x14ac:dyDescent="0.35">
      <c r="A4">
        <v>3</v>
      </c>
      <c r="B4" t="s">
        <v>155</v>
      </c>
      <c r="C4" t="s">
        <v>242</v>
      </c>
      <c r="D4" t="s">
        <v>159</v>
      </c>
      <c r="E4" t="s">
        <v>43</v>
      </c>
      <c r="F4">
        <v>64</v>
      </c>
      <c r="G4">
        <v>1.77</v>
      </c>
      <c r="H4" s="23">
        <v>102</v>
      </c>
      <c r="I4" s="23">
        <f t="shared" si="42"/>
        <v>32.557694149190844</v>
      </c>
      <c r="J4" s="6">
        <v>3.96</v>
      </c>
      <c r="K4" s="6">
        <v>3.46</v>
      </c>
      <c r="L4" s="6">
        <v>22.7</v>
      </c>
      <c r="M4" s="7">
        <f t="shared" si="0"/>
        <v>0.42511013215859034</v>
      </c>
      <c r="N4" s="7">
        <f t="shared" si="1"/>
        <v>0.28325991189427313</v>
      </c>
      <c r="O4" s="7">
        <f t="shared" si="2"/>
        <v>0.66632124352331601</v>
      </c>
      <c r="P4" s="70" t="s">
        <v>75</v>
      </c>
      <c r="Q4" s="7">
        <f t="shared" si="43"/>
        <v>0.47980613893376406</v>
      </c>
      <c r="R4" s="7" t="s">
        <v>75</v>
      </c>
      <c r="S4" s="4">
        <v>9.65</v>
      </c>
      <c r="T4" s="71">
        <f t="shared" si="45"/>
        <v>10.711500000000001</v>
      </c>
      <c r="U4" s="4">
        <f t="shared" si="3"/>
        <v>2.7571428571428571</v>
      </c>
      <c r="V4" s="4">
        <f t="shared" si="4"/>
        <v>2.7890173410404624</v>
      </c>
      <c r="W4" s="1">
        <v>1.08</v>
      </c>
      <c r="X4" s="1">
        <v>60</v>
      </c>
      <c r="Y4" s="1">
        <v>390</v>
      </c>
      <c r="Z4" s="1">
        <v>6.43</v>
      </c>
      <c r="AA4" s="5">
        <f t="shared" si="46"/>
        <v>7.1373000000000006</v>
      </c>
      <c r="AB4" s="1">
        <v>10</v>
      </c>
      <c r="AC4" s="9">
        <v>80</v>
      </c>
      <c r="AD4" s="21" t="s">
        <v>96</v>
      </c>
      <c r="AE4" s="4" t="s">
        <v>75</v>
      </c>
      <c r="AF4" s="21" t="s">
        <v>96</v>
      </c>
      <c r="AG4" s="21" t="s">
        <v>96</v>
      </c>
      <c r="AH4" s="1">
        <v>35.22</v>
      </c>
      <c r="AJ4" s="1">
        <v>76</v>
      </c>
      <c r="AK4" s="1">
        <v>81</v>
      </c>
      <c r="AL4" s="21" t="s">
        <v>96</v>
      </c>
      <c r="AM4" s="1">
        <v>112</v>
      </c>
      <c r="AN4" s="34">
        <f t="shared" si="48"/>
        <v>117.60000000000001</v>
      </c>
      <c r="AO4" s="18">
        <v>3.85</v>
      </c>
      <c r="AP4" s="18">
        <v>10.97</v>
      </c>
      <c r="AQ4" s="17">
        <f t="shared" si="5"/>
        <v>1.1367875647668395</v>
      </c>
      <c r="AR4" s="33">
        <f t="shared" si="6"/>
        <v>1.0241329412313869</v>
      </c>
      <c r="AS4" s="18">
        <f t="shared" si="7"/>
        <v>3.1342857142857143</v>
      </c>
      <c r="AT4" s="18">
        <f t="shared" si="8"/>
        <v>2.8493506493506495</v>
      </c>
      <c r="AU4" s="19">
        <v>1.03</v>
      </c>
      <c r="AV4" s="16">
        <v>8.84</v>
      </c>
      <c r="AW4" s="16">
        <v>9.06</v>
      </c>
      <c r="AX4" s="18">
        <f t="shared" si="49"/>
        <v>8.9499999999999993</v>
      </c>
      <c r="AY4" s="18">
        <f t="shared" si="9"/>
        <v>2.296103896103896</v>
      </c>
      <c r="AZ4" s="18">
        <f t="shared" si="10"/>
        <v>2.6184971098265897</v>
      </c>
      <c r="BA4" s="18">
        <f t="shared" si="50"/>
        <v>2.4573005029652428</v>
      </c>
      <c r="BB4" s="17">
        <f t="shared" si="11"/>
        <v>0.93886010362694305</v>
      </c>
      <c r="BC4" s="17">
        <f t="shared" si="12"/>
        <v>0.92746113989637291</v>
      </c>
      <c r="BD4" s="33">
        <f t="shared" si="13"/>
        <v>0.83555057648321884</v>
      </c>
      <c r="BE4" s="16">
        <v>8.4700000000000006</v>
      </c>
      <c r="BF4" s="18" t="s">
        <v>270</v>
      </c>
      <c r="BG4" s="17">
        <f t="shared" si="14"/>
        <v>0.80936995153473346</v>
      </c>
      <c r="BH4" s="33">
        <f t="shared" si="15"/>
        <v>0.877720207253886</v>
      </c>
      <c r="BI4" s="33">
        <f t="shared" si="16"/>
        <v>0.7907389254539513</v>
      </c>
      <c r="BJ4" s="33">
        <f t="shared" si="51"/>
        <v>1.3172628304821152</v>
      </c>
      <c r="BK4" s="33">
        <f t="shared" si="52"/>
        <v>1.1867232707046083</v>
      </c>
      <c r="BL4" s="33" t="s">
        <v>75</v>
      </c>
      <c r="BM4" s="33" t="s">
        <v>75</v>
      </c>
      <c r="BN4" s="18">
        <f t="shared" si="17"/>
        <v>2.4200000000000004</v>
      </c>
      <c r="BO4" s="18">
        <f t="shared" si="18"/>
        <v>2.447976878612717</v>
      </c>
      <c r="BP4" s="16">
        <v>1.1399999999999999</v>
      </c>
      <c r="BQ4" s="18">
        <v>9.58</v>
      </c>
      <c r="BR4" s="18">
        <v>7.67</v>
      </c>
      <c r="BS4" s="18">
        <v>9.43</v>
      </c>
      <c r="BU4" s="18">
        <v>9.06</v>
      </c>
      <c r="BV4" s="103">
        <f t="shared" si="19"/>
        <v>0.93886010362694305</v>
      </c>
      <c r="BW4" s="18"/>
      <c r="BX4" s="18">
        <v>12.01</v>
      </c>
      <c r="CA4" s="18">
        <f>AVERAGE(BQ4:BR4)</f>
        <v>8.625</v>
      </c>
      <c r="CB4" s="17">
        <f t="shared" si="55"/>
        <v>0.89378238341968907</v>
      </c>
      <c r="CC4" s="17">
        <f t="shared" si="56"/>
        <v>0.80520935443215225</v>
      </c>
      <c r="CD4" s="18">
        <f>AVERAGE(BS4:BU4)</f>
        <v>9.245000000000001</v>
      </c>
      <c r="CE4" s="109">
        <f t="shared" si="57"/>
        <v>8.9350000000000005</v>
      </c>
      <c r="CF4" s="17">
        <f t="shared" si="58"/>
        <v>0.95803108808290161</v>
      </c>
      <c r="CG4" s="17">
        <f t="shared" si="59"/>
        <v>0.86309107034495636</v>
      </c>
      <c r="CH4" s="18">
        <f t="shared" si="20"/>
        <v>4.8922479344629606</v>
      </c>
      <c r="CI4" s="18">
        <v>8.85</v>
      </c>
      <c r="CJ4" s="17">
        <f t="shared" si="60"/>
        <v>0.91709844559585485</v>
      </c>
      <c r="CK4" s="17">
        <f t="shared" si="61"/>
        <v>0.82621481585212142</v>
      </c>
      <c r="CL4" s="18">
        <v>8.02</v>
      </c>
      <c r="CM4" s="17">
        <f t="shared" si="62"/>
        <v>0.83108808290155434</v>
      </c>
      <c r="CN4" s="17">
        <f t="shared" si="63"/>
        <v>0.74872800261401284</v>
      </c>
      <c r="CO4" s="16">
        <v>73</v>
      </c>
      <c r="CP4" s="16">
        <v>96</v>
      </c>
      <c r="CQ4" s="17">
        <f t="shared" si="21"/>
        <v>0.8571428571428571</v>
      </c>
      <c r="CR4" s="16" t="s">
        <v>39</v>
      </c>
      <c r="CS4" s="16">
        <v>77</v>
      </c>
      <c r="CT4" s="16">
        <v>79</v>
      </c>
      <c r="CU4" s="20">
        <f t="shared" si="64"/>
        <v>78</v>
      </c>
      <c r="CV4" s="17">
        <f t="shared" si="22"/>
        <v>0.7053571428571429</v>
      </c>
      <c r="CW4" s="17">
        <f t="shared" si="23"/>
        <v>0.6964285714285714</v>
      </c>
      <c r="CX4" s="17">
        <f t="shared" si="24"/>
        <v>0.66326530612244894</v>
      </c>
      <c r="CY4" s="16">
        <v>85</v>
      </c>
      <c r="CZ4" s="17">
        <f t="shared" si="25"/>
        <v>0.7589285714285714</v>
      </c>
      <c r="DA4" s="17">
        <f t="shared" si="65"/>
        <v>0.72278911564625847</v>
      </c>
      <c r="DH4" s="16">
        <v>89</v>
      </c>
      <c r="DI4" s="103">
        <f t="shared" si="26"/>
        <v>0.7946428571428571</v>
      </c>
      <c r="DL4" s="16">
        <v>100</v>
      </c>
      <c r="DM4" s="16">
        <v>83</v>
      </c>
      <c r="DN4" s="20">
        <f t="shared" si="66"/>
        <v>91.5</v>
      </c>
      <c r="DO4" s="16">
        <v>88</v>
      </c>
      <c r="DP4" s="17">
        <f t="shared" si="27"/>
        <v>0.8928571428571429</v>
      </c>
      <c r="DQ4" s="17">
        <f t="shared" si="28"/>
        <v>0.85034013605442171</v>
      </c>
      <c r="DR4" s="17">
        <f t="shared" si="29"/>
        <v>0.7410714285714286</v>
      </c>
      <c r="DS4" s="17">
        <f t="shared" si="30"/>
        <v>0.70578231292517002</v>
      </c>
      <c r="DT4" s="17">
        <f t="shared" si="31"/>
        <v>0.7857142857142857</v>
      </c>
      <c r="DU4" s="17">
        <f t="shared" si="32"/>
        <v>0.7482993197278911</v>
      </c>
      <c r="DV4" s="16">
        <v>87</v>
      </c>
      <c r="DW4" s="17">
        <f t="shared" si="33"/>
        <v>0.7767857142857143</v>
      </c>
      <c r="DX4" s="17">
        <f t="shared" si="34"/>
        <v>0.73979591836734693</v>
      </c>
      <c r="DY4" s="57">
        <f t="shared" si="67"/>
        <v>2.7687861271676302</v>
      </c>
      <c r="DZ4" s="57">
        <f t="shared" si="35"/>
        <v>2.2167630057803467</v>
      </c>
      <c r="EA4" s="57">
        <f>BS4/K4</f>
        <v>2.7254335260115607</v>
      </c>
      <c r="EB4" s="57"/>
      <c r="EC4" s="57">
        <f t="shared" si="36"/>
        <v>2.6184971098265897</v>
      </c>
      <c r="ED4" s="57" t="s">
        <v>75</v>
      </c>
      <c r="EE4" s="57">
        <f t="shared" si="37"/>
        <v>3.4710982658959537</v>
      </c>
      <c r="EF4" s="57"/>
      <c r="EG4" s="57"/>
      <c r="EH4" s="57">
        <f t="shared" si="38"/>
        <v>2.4927745664739884</v>
      </c>
      <c r="EI4" s="57">
        <f t="shared" si="39"/>
        <v>2.6719653179190757</v>
      </c>
      <c r="EJ4" s="57">
        <f t="shared" si="40"/>
        <v>2.5578034682080926</v>
      </c>
      <c r="EK4" s="57">
        <f t="shared" si="41"/>
        <v>2.3179190751445087</v>
      </c>
      <c r="EL4" s="13">
        <v>100.5</v>
      </c>
      <c r="EM4" s="13">
        <f>EL4-H4</f>
        <v>-1.5</v>
      </c>
      <c r="EN4" s="12">
        <v>3.46</v>
      </c>
      <c r="EO4" s="12">
        <v>3.46</v>
      </c>
      <c r="EP4" s="12">
        <v>9.41</v>
      </c>
      <c r="EQ4" s="14">
        <f>(EP4-S4)/S4*100</f>
        <v>-2.4870466321243545</v>
      </c>
      <c r="ER4" s="44">
        <f>EP4/L4</f>
        <v>0.41453744493392075</v>
      </c>
      <c r="ES4" s="14">
        <f>EP4/3.5</f>
        <v>2.6885714285714286</v>
      </c>
      <c r="ET4" s="14">
        <f>EP4/EO4</f>
        <v>2.7196531791907517</v>
      </c>
      <c r="EU4" s="12">
        <v>1.37</v>
      </c>
      <c r="EV4" s="12">
        <v>70</v>
      </c>
      <c r="EW4" s="12">
        <f>EV4-X4</f>
        <v>10</v>
      </c>
      <c r="EX4" s="12">
        <v>420</v>
      </c>
      <c r="EY4" s="12">
        <f>EX4-Y4</f>
        <v>30</v>
      </c>
      <c r="EZ4" s="12">
        <v>7.84</v>
      </c>
      <c r="FA4" s="12">
        <f>EZ4-Z4</f>
        <v>1.4100000000000001</v>
      </c>
      <c r="FB4" s="12">
        <v>30</v>
      </c>
      <c r="FC4" s="12">
        <v>10</v>
      </c>
      <c r="FD4" s="12">
        <v>110</v>
      </c>
      <c r="FE4" s="12">
        <f>FD4-AC4</f>
        <v>30</v>
      </c>
      <c r="FF4" s="12">
        <v>8.27</v>
      </c>
      <c r="FG4" s="12">
        <v>60</v>
      </c>
      <c r="FH4" s="12">
        <f>8*60+10</f>
        <v>490</v>
      </c>
      <c r="FI4" s="12" t="s">
        <v>84</v>
      </c>
      <c r="FJ4" s="12">
        <v>41.4</v>
      </c>
      <c r="FK4" s="12">
        <f>FJ4-AH4</f>
        <v>6.18</v>
      </c>
      <c r="FL4" s="12">
        <v>76</v>
      </c>
      <c r="FM4" s="12">
        <v>89</v>
      </c>
      <c r="FN4" s="12">
        <v>96</v>
      </c>
      <c r="FO4" s="12">
        <v>108</v>
      </c>
      <c r="FP4" s="28">
        <v>2.62</v>
      </c>
      <c r="FQ4" s="25">
        <v>9.58</v>
      </c>
      <c r="FR4" s="26">
        <f>FQ4/EP4</f>
        <v>1.0180658873538788</v>
      </c>
      <c r="FS4" s="27">
        <f>FQ4/3.5</f>
        <v>2.7371428571428571</v>
      </c>
      <c r="FT4" s="27">
        <f>FQ4/FP4</f>
        <v>3.6564885496183206</v>
      </c>
      <c r="FU4" s="25">
        <v>1.2</v>
      </c>
      <c r="FV4" s="25">
        <v>5.76</v>
      </c>
      <c r="FW4" s="25">
        <v>5.82</v>
      </c>
      <c r="FX4" s="25">
        <v>7.57</v>
      </c>
      <c r="FY4" s="26">
        <f>FX4/EP4</f>
        <v>0.80446333687566418</v>
      </c>
      <c r="FZ4" s="27">
        <f>FX4/3.5</f>
        <v>2.1628571428571428</v>
      </c>
      <c r="GA4" s="27">
        <f>FX4/FP4</f>
        <v>2.8893129770992365</v>
      </c>
      <c r="GB4" s="25">
        <v>1.33</v>
      </c>
      <c r="GC4" s="25">
        <v>8.9</v>
      </c>
      <c r="GD4" s="25">
        <v>8.24</v>
      </c>
      <c r="GF4" s="25">
        <v>7.78</v>
      </c>
      <c r="GG4" s="25">
        <f>AVERAGE(7.65,7.39)</f>
        <v>7.52</v>
      </c>
      <c r="GJ4" s="28">
        <f>AVERAGE(GC4,GD4,GF4,GH4,GI4)</f>
        <v>8.3066666666666666</v>
      </c>
      <c r="GK4" s="28">
        <f>AVERAGE(GG4,GE4)</f>
        <v>7.52</v>
      </c>
      <c r="GL4" s="27">
        <f>AVERAGE(6.06,7.08,7.33,6.5)</f>
        <v>6.7424999999999997</v>
      </c>
      <c r="GM4" s="25">
        <v>5.83</v>
      </c>
      <c r="GN4" s="25">
        <v>72</v>
      </c>
      <c r="GO4" s="25">
        <v>103</v>
      </c>
      <c r="GP4" s="26">
        <f>GO4/FO4</f>
        <v>0.95370370370370372</v>
      </c>
      <c r="GQ4" s="25" t="s">
        <v>38</v>
      </c>
      <c r="GR4" s="25">
        <v>73</v>
      </c>
      <c r="GS4" s="25">
        <v>72</v>
      </c>
      <c r="GT4" s="25">
        <v>90</v>
      </c>
      <c r="GU4" s="25">
        <v>86</v>
      </c>
      <c r="GV4" s="25">
        <v>83</v>
      </c>
      <c r="GY4" s="25">
        <v>97</v>
      </c>
      <c r="GZ4" s="29">
        <f>AVERAGE(82,97)</f>
        <v>89.5</v>
      </c>
      <c r="HB4" s="29">
        <f>AVERAGE(GU4:GW4,GY4,HA4)</f>
        <v>88.666666666666671</v>
      </c>
      <c r="HC4" s="29">
        <f>AVERAGE(GX4,GZ4)</f>
        <v>89.5</v>
      </c>
      <c r="HD4" s="29">
        <f>AVERAGE(83,89, 97,96)</f>
        <v>91.25</v>
      </c>
      <c r="HE4" s="25">
        <v>92</v>
      </c>
      <c r="HF4" s="16">
        <v>11</v>
      </c>
      <c r="HG4" s="16">
        <v>15</v>
      </c>
      <c r="HH4" s="16">
        <v>13</v>
      </c>
      <c r="HJ4" s="16">
        <v>-2</v>
      </c>
      <c r="HK4" s="16">
        <v>4</v>
      </c>
      <c r="HL4" s="20">
        <f>AVERAGE(3,-2,1,2,4)</f>
        <v>1.6</v>
      </c>
      <c r="HM4" s="51">
        <v>11</v>
      </c>
      <c r="HN4" s="51">
        <v>15</v>
      </c>
      <c r="HO4" s="51">
        <v>13</v>
      </c>
      <c r="HP4" s="51">
        <v>1</v>
      </c>
      <c r="HQ4" s="51">
        <v>5</v>
      </c>
      <c r="HR4" s="58">
        <f>AVERAGE(5,4,4,1)</f>
        <v>3.5</v>
      </c>
      <c r="HS4" s="53">
        <v>4115</v>
      </c>
      <c r="HT4">
        <v>21.2</v>
      </c>
      <c r="HU4">
        <v>1.9</v>
      </c>
      <c r="HV4">
        <v>0.92</v>
      </c>
      <c r="HW4">
        <v>31.9</v>
      </c>
      <c r="HX4" s="94">
        <f>HW4*H4</f>
        <v>3253.7999999999997</v>
      </c>
      <c r="HY4" s="95">
        <v>7184</v>
      </c>
      <c r="HZ4" s="95">
        <v>19.71</v>
      </c>
      <c r="IA4" s="95">
        <v>2.62</v>
      </c>
      <c r="IB4" s="95">
        <v>1.66</v>
      </c>
      <c r="IC4" s="95">
        <v>33.200000000000003</v>
      </c>
      <c r="ID4" s="94">
        <f>IC4*EL4</f>
        <v>3336.6000000000004</v>
      </c>
    </row>
    <row r="5" spans="1:238" x14ac:dyDescent="0.35">
      <c r="A5">
        <v>4</v>
      </c>
      <c r="B5" t="s">
        <v>156</v>
      </c>
      <c r="C5" t="s">
        <v>240</v>
      </c>
      <c r="D5" t="s">
        <v>158</v>
      </c>
      <c r="E5" t="s">
        <v>43</v>
      </c>
      <c r="F5">
        <v>84</v>
      </c>
      <c r="G5">
        <v>1.74</v>
      </c>
      <c r="H5" s="23">
        <v>89.3</v>
      </c>
      <c r="I5" s="23">
        <f t="shared" si="42"/>
        <v>29.495309816356187</v>
      </c>
      <c r="J5" s="6">
        <v>3.37</v>
      </c>
      <c r="K5" s="6">
        <v>2.21</v>
      </c>
      <c r="L5" s="6">
        <v>18.53</v>
      </c>
      <c r="M5" s="7">
        <f t="shared" si="0"/>
        <v>0.52293577981651373</v>
      </c>
      <c r="N5" s="7">
        <f t="shared" si="1"/>
        <v>0.34204996709430968</v>
      </c>
      <c r="O5" s="7">
        <f t="shared" si="2"/>
        <v>0.65409555111017115</v>
      </c>
      <c r="P5" s="7">
        <f t="shared" ref="P5:P16" si="68">AD5/S5</f>
        <v>0.73271413828689369</v>
      </c>
      <c r="Q5" s="7">
        <f t="shared" si="43"/>
        <v>0.55189650939272172</v>
      </c>
      <c r="R5" s="7">
        <f t="shared" si="44"/>
        <v>0.65374331550802134</v>
      </c>
      <c r="S5" s="4">
        <v>9.69</v>
      </c>
      <c r="T5" s="71">
        <f t="shared" si="45"/>
        <v>10.7559</v>
      </c>
      <c r="U5" s="4">
        <f t="shared" si="3"/>
        <v>2.7685714285714282</v>
      </c>
      <c r="V5" s="4">
        <f t="shared" si="4"/>
        <v>4.3846153846153841</v>
      </c>
      <c r="W5" s="5">
        <v>1.2</v>
      </c>
      <c r="X5" s="1">
        <v>70</v>
      </c>
      <c r="Y5" s="1">
        <f>6*60+33</f>
        <v>393</v>
      </c>
      <c r="Z5" s="5">
        <f>0.566/H5*1000</f>
        <v>6.3381858902575585</v>
      </c>
      <c r="AA5" s="5">
        <f t="shared" si="46"/>
        <v>7.0353863381858908</v>
      </c>
      <c r="AB5" s="1">
        <v>20</v>
      </c>
      <c r="AC5" s="1">
        <v>140</v>
      </c>
      <c r="AD5" s="1">
        <v>7.1</v>
      </c>
      <c r="AE5" s="4">
        <f t="shared" si="47"/>
        <v>7.8810000000000002</v>
      </c>
      <c r="AF5" s="1">
        <v>30</v>
      </c>
      <c r="AG5" s="1">
        <v>190</v>
      </c>
      <c r="AH5" s="1">
        <v>36.25</v>
      </c>
      <c r="AI5" s="1" t="s">
        <v>82</v>
      </c>
      <c r="AJ5" s="1">
        <v>71</v>
      </c>
      <c r="AK5" s="1">
        <v>91</v>
      </c>
      <c r="AL5" s="1">
        <v>94</v>
      </c>
      <c r="AM5" s="1">
        <v>98</v>
      </c>
      <c r="AN5" s="34">
        <f t="shared" si="48"/>
        <v>102.9</v>
      </c>
      <c r="AO5" s="18">
        <v>2.21</v>
      </c>
      <c r="AP5" s="18">
        <v>10.75</v>
      </c>
      <c r="AQ5" s="17">
        <f t="shared" si="5"/>
        <v>1.1093911248710011</v>
      </c>
      <c r="AR5" s="33">
        <f t="shared" si="6"/>
        <v>0.99945146384774863</v>
      </c>
      <c r="AS5" s="18">
        <f t="shared" si="7"/>
        <v>3.0714285714285716</v>
      </c>
      <c r="AT5" s="18">
        <f t="shared" si="8"/>
        <v>4.8642533936651589</v>
      </c>
      <c r="AU5" s="19">
        <v>0.9</v>
      </c>
      <c r="AV5" s="16">
        <v>8.75</v>
      </c>
      <c r="AW5" s="16">
        <v>9.76</v>
      </c>
      <c r="AX5" s="18">
        <f t="shared" si="49"/>
        <v>9.254999999999999</v>
      </c>
      <c r="AY5" s="18">
        <f t="shared" si="9"/>
        <v>3.9592760180995477</v>
      </c>
      <c r="AZ5" s="18">
        <f t="shared" si="10"/>
        <v>4.4162895927601813</v>
      </c>
      <c r="BA5" s="18">
        <f t="shared" si="50"/>
        <v>4.1877828054298645</v>
      </c>
      <c r="BB5" s="17">
        <f t="shared" si="11"/>
        <v>1.0072239422084623</v>
      </c>
      <c r="BC5" s="17">
        <f t="shared" si="12"/>
        <v>0.95510835913312686</v>
      </c>
      <c r="BD5" s="33">
        <f t="shared" si="13"/>
        <v>0.86045798120101513</v>
      </c>
      <c r="BE5" s="16">
        <v>7.64</v>
      </c>
      <c r="BF5" s="18" t="s">
        <v>39</v>
      </c>
      <c r="BG5" s="17">
        <f t="shared" si="14"/>
        <v>0.72593582887700536</v>
      </c>
      <c r="BH5" s="33">
        <f t="shared" si="15"/>
        <v>0.78844169246646023</v>
      </c>
      <c r="BI5" s="33">
        <f t="shared" si="16"/>
        <v>0.71030783105086504</v>
      </c>
      <c r="BJ5" s="33">
        <f t="shared" si="51"/>
        <v>1.2053922261484098</v>
      </c>
      <c r="BK5" s="33">
        <f t="shared" si="52"/>
        <v>1.0859389424760448</v>
      </c>
      <c r="BL5" s="33">
        <f t="shared" si="53"/>
        <v>1.0760563380281689</v>
      </c>
      <c r="BM5" s="33">
        <f t="shared" si="54"/>
        <v>0.96942012434970171</v>
      </c>
      <c r="BN5" s="18">
        <f t="shared" si="17"/>
        <v>2.1828571428571428</v>
      </c>
      <c r="BO5" s="18">
        <f t="shared" si="18"/>
        <v>3.4570135746606332</v>
      </c>
      <c r="BP5" s="16">
        <v>1.05</v>
      </c>
      <c r="BQ5" s="18">
        <v>8.17</v>
      </c>
      <c r="BR5" s="18">
        <v>7.11</v>
      </c>
      <c r="BS5" s="18"/>
      <c r="BT5" s="16">
        <v>5.22</v>
      </c>
      <c r="BU5" s="18">
        <v>9.19</v>
      </c>
      <c r="BV5" s="103">
        <f t="shared" si="19"/>
        <v>0.94840041279669762</v>
      </c>
      <c r="BW5" s="18">
        <v>6.5</v>
      </c>
      <c r="BX5" s="18">
        <v>6.26</v>
      </c>
      <c r="CA5" s="18">
        <f>AVERAGE(BQ5:BR5,BW5:BX5)</f>
        <v>7.01</v>
      </c>
      <c r="CB5" s="17">
        <f t="shared" si="55"/>
        <v>0.72342621259029927</v>
      </c>
      <c r="CC5" s="17">
        <f t="shared" si="56"/>
        <v>0.65173532665792722</v>
      </c>
      <c r="CD5" s="18">
        <f>AVERAGE(BT5:BU5,BS5)</f>
        <v>7.2050000000000001</v>
      </c>
      <c r="CE5" s="109">
        <f t="shared" si="57"/>
        <v>7.1074999999999999</v>
      </c>
      <c r="CF5" s="17">
        <f t="shared" si="58"/>
        <v>0.7435500515995872</v>
      </c>
      <c r="CG5" s="17">
        <f t="shared" si="59"/>
        <v>0.66986491135097948</v>
      </c>
      <c r="CH5" s="18">
        <f t="shared" si="20"/>
        <v>3.8975403848120567</v>
      </c>
      <c r="CI5" s="18">
        <f>AVERAGE(9.41,8.97,7.35,7.43)</f>
        <v>8.2900000000000009</v>
      </c>
      <c r="CJ5" s="17">
        <f t="shared" si="60"/>
        <v>0.8555211558307535</v>
      </c>
      <c r="CK5" s="17">
        <f t="shared" si="61"/>
        <v>0.77073978002770582</v>
      </c>
      <c r="CL5" s="18">
        <v>4.62</v>
      </c>
      <c r="CM5" s="17">
        <f t="shared" si="62"/>
        <v>0.47678018575851394</v>
      </c>
      <c r="CN5" s="17">
        <f t="shared" si="63"/>
        <v>0.42953169888154408</v>
      </c>
      <c r="CO5" s="16">
        <v>60</v>
      </c>
      <c r="CP5" s="16">
        <v>111</v>
      </c>
      <c r="CQ5" s="17">
        <f t="shared" si="21"/>
        <v>1.1326530612244898</v>
      </c>
      <c r="CR5" s="16" t="s">
        <v>38</v>
      </c>
      <c r="CS5" s="16">
        <v>93</v>
      </c>
      <c r="CT5" s="16">
        <v>92</v>
      </c>
      <c r="CU5" s="20">
        <f t="shared" si="64"/>
        <v>92.5</v>
      </c>
      <c r="CV5" s="17">
        <f t="shared" si="22"/>
        <v>0.93877551020408168</v>
      </c>
      <c r="CW5" s="17">
        <f t="shared" si="23"/>
        <v>0.94387755102040816</v>
      </c>
      <c r="CX5" s="17">
        <f t="shared" si="24"/>
        <v>0.89893100097181722</v>
      </c>
      <c r="CY5" s="16">
        <v>89</v>
      </c>
      <c r="CZ5" s="17">
        <f t="shared" si="25"/>
        <v>0.90816326530612246</v>
      </c>
      <c r="DA5" s="17">
        <f t="shared" si="65"/>
        <v>0.86491739552964042</v>
      </c>
      <c r="DB5" s="16">
        <v>91</v>
      </c>
      <c r="DC5" s="16">
        <v>92</v>
      </c>
      <c r="DG5" s="16">
        <v>82</v>
      </c>
      <c r="DH5" s="16">
        <v>90</v>
      </c>
      <c r="DI5" s="103">
        <f t="shared" si="26"/>
        <v>0.91836734693877553</v>
      </c>
      <c r="DJ5" s="16">
        <v>85</v>
      </c>
      <c r="DK5" s="16">
        <v>91</v>
      </c>
      <c r="DL5" s="20">
        <f>AVERAGE(DB5:DC5,DJ5:DK5)</f>
        <v>89.75</v>
      </c>
      <c r="DM5" s="16">
        <f t="shared" ref="DM5:DM10" si="69">AVERAGE(DF5:DH5)</f>
        <v>86</v>
      </c>
      <c r="DN5" s="20">
        <f t="shared" si="66"/>
        <v>87.875</v>
      </c>
      <c r="DO5" s="20">
        <f>AVERAGE(87,90,92,92)</f>
        <v>90.25</v>
      </c>
      <c r="DP5" s="17">
        <f t="shared" si="27"/>
        <v>0.91581632653061229</v>
      </c>
      <c r="DQ5" s="17">
        <f t="shared" si="28"/>
        <v>0.87220602526724966</v>
      </c>
      <c r="DR5" s="17">
        <f t="shared" si="29"/>
        <v>0.87755102040816324</v>
      </c>
      <c r="DS5" s="17">
        <f t="shared" si="30"/>
        <v>0.83576287657920312</v>
      </c>
      <c r="DT5" s="17">
        <f t="shared" si="31"/>
        <v>0.92091836734693877</v>
      </c>
      <c r="DU5" s="17">
        <f t="shared" si="32"/>
        <v>0.87706511175898927</v>
      </c>
      <c r="DV5" s="16">
        <v>82</v>
      </c>
      <c r="DW5" s="17">
        <f t="shared" si="33"/>
        <v>0.83673469387755106</v>
      </c>
      <c r="DX5" s="17">
        <f t="shared" si="34"/>
        <v>0.7968901846452866</v>
      </c>
      <c r="DY5" s="57">
        <f t="shared" si="67"/>
        <v>3.6968325791855206</v>
      </c>
      <c r="DZ5" s="57">
        <f t="shared" si="35"/>
        <v>3.2171945701357467</v>
      </c>
      <c r="EA5" s="57" t="s">
        <v>75</v>
      </c>
      <c r="EB5" s="57">
        <f>BT5/K5</f>
        <v>2.3619909502262444</v>
      </c>
      <c r="EC5" s="57">
        <f t="shared" si="36"/>
        <v>4.1583710407239813</v>
      </c>
      <c r="ED5" s="57">
        <f t="shared" ref="ED5:ED15" si="70">BW5/K5</f>
        <v>2.9411764705882355</v>
      </c>
      <c r="EE5" s="57">
        <f t="shared" si="37"/>
        <v>2.8325791855203621</v>
      </c>
      <c r="EF5" s="57"/>
      <c r="EG5" s="57"/>
      <c r="EH5" s="57">
        <f t="shared" si="38"/>
        <v>3.1719457013574659</v>
      </c>
      <c r="EI5" s="57">
        <f t="shared" si="39"/>
        <v>3.2601809954751131</v>
      </c>
      <c r="EJ5" s="57">
        <f t="shared" si="40"/>
        <v>3.7511312217194575</v>
      </c>
      <c r="EK5" s="57">
        <f t="shared" si="41"/>
        <v>2.0904977375565612</v>
      </c>
      <c r="EL5" s="11"/>
      <c r="EM5" s="11"/>
      <c r="FI5" s="12" t="s">
        <v>75</v>
      </c>
      <c r="FR5" s="26"/>
      <c r="FS5" s="27"/>
      <c r="FT5" s="27"/>
      <c r="FY5" s="26"/>
      <c r="FZ5" s="27"/>
      <c r="GA5" s="27"/>
      <c r="GK5" s="28"/>
      <c r="GL5" s="28"/>
      <c r="GP5" s="26"/>
      <c r="HB5" s="29"/>
      <c r="HD5" s="29"/>
      <c r="HF5" s="16">
        <v>9</v>
      </c>
      <c r="HG5" s="16">
        <v>17</v>
      </c>
      <c r="HH5" s="20">
        <f>AVERAGE(13,9,11,11,9,12,17,11,11)</f>
        <v>11.555555555555555</v>
      </c>
      <c r="HI5" s="20"/>
      <c r="HJ5" s="16">
        <v>1</v>
      </c>
      <c r="HK5" s="16">
        <v>4</v>
      </c>
      <c r="HL5" s="20">
        <f>AVERAGE(4,4,3,3,4,1,3,3,4)</f>
        <v>3.2222222222222223</v>
      </c>
      <c r="HM5" s="64"/>
      <c r="HN5" s="64"/>
      <c r="HO5" s="64"/>
      <c r="HP5" s="64"/>
      <c r="HQ5" s="64"/>
      <c r="HR5" s="69"/>
      <c r="HS5" s="63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</row>
    <row r="6" spans="1:238" x14ac:dyDescent="0.35">
      <c r="A6">
        <v>5</v>
      </c>
      <c r="B6" t="s">
        <v>156</v>
      </c>
      <c r="C6" t="s">
        <v>239</v>
      </c>
      <c r="D6" t="s">
        <v>157</v>
      </c>
      <c r="E6" t="s">
        <v>44</v>
      </c>
      <c r="F6">
        <v>67</v>
      </c>
      <c r="G6">
        <v>1.71</v>
      </c>
      <c r="H6" s="23">
        <v>88.2</v>
      </c>
      <c r="I6" s="23">
        <f t="shared" si="42"/>
        <v>30.163127116035707</v>
      </c>
      <c r="J6" s="23">
        <v>3.79</v>
      </c>
      <c r="K6" s="23">
        <v>3.1</v>
      </c>
      <c r="L6" s="23">
        <v>16.420000000000002</v>
      </c>
      <c r="M6" s="7">
        <f t="shared" si="0"/>
        <v>0.90682095006090124</v>
      </c>
      <c r="N6" s="7">
        <f t="shared" si="1"/>
        <v>0.69123020706455529</v>
      </c>
      <c r="O6" s="7">
        <f t="shared" si="2"/>
        <v>0.76225654801880449</v>
      </c>
      <c r="P6" s="7">
        <f t="shared" si="68"/>
        <v>0.857622565480188</v>
      </c>
      <c r="Q6" s="7">
        <f t="shared" si="43"/>
        <v>0.69974554707379133</v>
      </c>
      <c r="R6" s="7">
        <f t="shared" si="44"/>
        <v>0.82018659881255296</v>
      </c>
      <c r="S6" s="4">
        <v>14.89</v>
      </c>
      <c r="T6" s="71">
        <f t="shared" si="45"/>
        <v>16.527900000000002</v>
      </c>
      <c r="U6" s="4">
        <f t="shared" si="3"/>
        <v>4.2542857142857144</v>
      </c>
      <c r="V6" s="4">
        <f t="shared" si="4"/>
        <v>4.8032258064516133</v>
      </c>
      <c r="W6" s="1">
        <v>1.31</v>
      </c>
      <c r="X6" s="1">
        <v>90</v>
      </c>
      <c r="Y6" s="1">
        <f>9*60+17</f>
        <v>557</v>
      </c>
      <c r="Z6" s="1">
        <v>11.35</v>
      </c>
      <c r="AA6" s="5">
        <f t="shared" si="46"/>
        <v>12.598500000000001</v>
      </c>
      <c r="AB6" s="1">
        <v>40</v>
      </c>
      <c r="AC6" s="1">
        <v>230</v>
      </c>
      <c r="AD6" s="1">
        <v>12.77</v>
      </c>
      <c r="AE6" s="4">
        <f t="shared" si="47"/>
        <v>14.174700000000001</v>
      </c>
      <c r="AF6" s="1">
        <v>60</v>
      </c>
      <c r="AG6" s="1">
        <v>350</v>
      </c>
      <c r="AH6" s="1">
        <v>27.9</v>
      </c>
      <c r="AI6" s="1" t="s">
        <v>251</v>
      </c>
      <c r="AJ6" s="1">
        <v>75</v>
      </c>
      <c r="AK6" s="1">
        <v>92</v>
      </c>
      <c r="AL6" s="1">
        <v>103</v>
      </c>
      <c r="AM6" s="1">
        <v>120</v>
      </c>
      <c r="AN6" s="34">
        <f t="shared" si="48"/>
        <v>126</v>
      </c>
      <c r="AO6" s="18">
        <v>3.1</v>
      </c>
      <c r="AP6" s="18">
        <v>16.09</v>
      </c>
      <c r="AQ6" s="17">
        <f t="shared" si="5"/>
        <v>1.0805910006715915</v>
      </c>
      <c r="AR6" s="33">
        <f t="shared" si="6"/>
        <v>0.97350540601044278</v>
      </c>
      <c r="AS6" s="18">
        <f t="shared" si="7"/>
        <v>4.597142857142857</v>
      </c>
      <c r="AT6" s="18">
        <f t="shared" si="8"/>
        <v>5.1903225806451614</v>
      </c>
      <c r="AU6" s="19">
        <v>1.01</v>
      </c>
      <c r="AV6" s="16">
        <v>11.54</v>
      </c>
      <c r="AW6" s="16">
        <v>11.94</v>
      </c>
      <c r="AX6" s="18">
        <f t="shared" si="49"/>
        <v>11.739999999999998</v>
      </c>
      <c r="AY6" s="18">
        <f t="shared" si="9"/>
        <v>3.7225806451612899</v>
      </c>
      <c r="AZ6" s="18">
        <f t="shared" si="10"/>
        <v>3.851612903225806</v>
      </c>
      <c r="BA6" s="18">
        <f t="shared" si="50"/>
        <v>3.787096774193548</v>
      </c>
      <c r="BB6" s="17">
        <f t="shared" si="11"/>
        <v>0.80188045668233709</v>
      </c>
      <c r="BC6" s="17">
        <f t="shared" si="12"/>
        <v>0.78844862323707177</v>
      </c>
      <c r="BD6" s="33">
        <f t="shared" si="13"/>
        <v>0.71031407498835286</v>
      </c>
      <c r="BE6" s="16">
        <v>11.52</v>
      </c>
      <c r="BF6" s="18" t="s">
        <v>39</v>
      </c>
      <c r="BG6" s="17">
        <f t="shared" si="14"/>
        <v>0.71416454622561487</v>
      </c>
      <c r="BH6" s="33">
        <f t="shared" si="15"/>
        <v>0.77367360644728</v>
      </c>
      <c r="BI6" s="33">
        <f t="shared" si="16"/>
        <v>0.69700324905160349</v>
      </c>
      <c r="BJ6" s="33">
        <f t="shared" si="51"/>
        <v>1.014977973568282</v>
      </c>
      <c r="BK6" s="33">
        <f t="shared" si="52"/>
        <v>0.91439457078223585</v>
      </c>
      <c r="BL6" s="33">
        <f t="shared" si="53"/>
        <v>0.90211433046202039</v>
      </c>
      <c r="BM6" s="33">
        <f t="shared" si="54"/>
        <v>0.81271561302884709</v>
      </c>
      <c r="BN6" s="18">
        <f t="shared" si="17"/>
        <v>3.2914285714285714</v>
      </c>
      <c r="BO6" s="18">
        <f t="shared" si="18"/>
        <v>3.7161290322580642</v>
      </c>
      <c r="BP6" s="16">
        <v>1.0900000000000001</v>
      </c>
      <c r="BQ6" s="18">
        <v>11.69</v>
      </c>
      <c r="BR6" s="18">
        <v>12.64</v>
      </c>
      <c r="BS6" s="18">
        <v>12.33</v>
      </c>
      <c r="BU6" s="18">
        <f>AVERAGE(11.98,9.73)</f>
        <v>10.855</v>
      </c>
      <c r="BV6" s="103">
        <f t="shared" si="19"/>
        <v>0.72901276024177297</v>
      </c>
      <c r="BW6" s="18">
        <v>11.55</v>
      </c>
      <c r="BX6" s="18">
        <v>9.6300000000000008</v>
      </c>
      <c r="BY6" s="18">
        <v>12.22</v>
      </c>
      <c r="CA6" s="18">
        <f t="shared" ref="CA6:CA16" si="71">AVERAGE(BQ6,BR6,BW6,BX6,BY6)</f>
        <v>11.545999999999999</v>
      </c>
      <c r="CB6" s="17">
        <f t="shared" si="55"/>
        <v>0.77541974479516451</v>
      </c>
      <c r="CC6" s="17">
        <f t="shared" si="56"/>
        <v>0.69857634666231028</v>
      </c>
      <c r="CD6" s="18">
        <f>AVERAGE(BU6,BS6)</f>
        <v>11.592500000000001</v>
      </c>
      <c r="CE6" s="109">
        <f t="shared" si="57"/>
        <v>11.56925</v>
      </c>
      <c r="CF6" s="17">
        <f t="shared" si="58"/>
        <v>0.77854264607118873</v>
      </c>
      <c r="CG6" s="17">
        <f t="shared" si="59"/>
        <v>0.7013897712353051</v>
      </c>
      <c r="CH6" s="18">
        <f t="shared" si="20"/>
        <v>6.1531240228643691</v>
      </c>
      <c r="CI6" s="18">
        <f>AVERAGE(10.67,12.65)</f>
        <v>11.66</v>
      </c>
      <c r="CJ6" s="17">
        <f t="shared" si="60"/>
        <v>0.7830758898589657</v>
      </c>
      <c r="CK6" s="17">
        <f t="shared" si="61"/>
        <v>0.70547377464771677</v>
      </c>
      <c r="CL6" s="18">
        <v>6.23</v>
      </c>
      <c r="CM6" s="17">
        <f t="shared" si="62"/>
        <v>0.41840161182001345</v>
      </c>
      <c r="CN6" s="17">
        <f t="shared" si="63"/>
        <v>0.37693838902703908</v>
      </c>
      <c r="CO6" s="16">
        <v>75</v>
      </c>
      <c r="CP6" s="16">
        <v>132</v>
      </c>
      <c r="CQ6" s="17">
        <f t="shared" si="21"/>
        <v>1.1000000000000001</v>
      </c>
      <c r="CR6" s="16" t="s">
        <v>38</v>
      </c>
      <c r="CS6" s="16">
        <v>94</v>
      </c>
      <c r="CT6" s="16">
        <v>101</v>
      </c>
      <c r="CU6" s="20">
        <f t="shared" si="64"/>
        <v>97.5</v>
      </c>
      <c r="CV6" s="17">
        <f t="shared" si="22"/>
        <v>0.84166666666666667</v>
      </c>
      <c r="CW6" s="17">
        <f t="shared" si="23"/>
        <v>0.8125</v>
      </c>
      <c r="CX6" s="17">
        <f t="shared" si="24"/>
        <v>0.77380952380952384</v>
      </c>
      <c r="CY6" s="16">
        <v>116</v>
      </c>
      <c r="CZ6" s="17">
        <f t="shared" si="25"/>
        <v>0.96666666666666667</v>
      </c>
      <c r="DA6" s="17">
        <f t="shared" si="65"/>
        <v>0.92063492063492058</v>
      </c>
      <c r="DB6" s="16">
        <v>100</v>
      </c>
      <c r="DC6" s="16">
        <v>122</v>
      </c>
      <c r="DD6" s="16">
        <v>118</v>
      </c>
      <c r="DF6" s="16">
        <v>116</v>
      </c>
      <c r="DH6" s="20">
        <f>AVERAGE(120,127)</f>
        <v>123.5</v>
      </c>
      <c r="DI6" s="103">
        <f t="shared" si="26"/>
        <v>1.0291666666666666</v>
      </c>
      <c r="DJ6" s="16">
        <v>109</v>
      </c>
      <c r="DK6" s="16">
        <v>124</v>
      </c>
      <c r="DL6" s="20">
        <f t="shared" ref="DL6:DL15" si="72">AVERAGE(DB6:DD6,DJ6:DK6)</f>
        <v>114.6</v>
      </c>
      <c r="DM6" s="20">
        <f t="shared" si="69"/>
        <v>119.75</v>
      </c>
      <c r="DN6" s="20">
        <f t="shared" si="66"/>
        <v>117.175</v>
      </c>
      <c r="DO6" s="20">
        <f>AVERAGE(100,121)</f>
        <v>110.5</v>
      </c>
      <c r="DP6" s="17">
        <f t="shared" si="27"/>
        <v>0.95499999999999996</v>
      </c>
      <c r="DQ6" s="17">
        <f t="shared" si="28"/>
        <v>0.90952380952380951</v>
      </c>
      <c r="DR6" s="17">
        <f t="shared" si="29"/>
        <v>0.99791666666666667</v>
      </c>
      <c r="DS6" s="17">
        <f t="shared" si="30"/>
        <v>0.95039682539682535</v>
      </c>
      <c r="DT6" s="17">
        <f t="shared" si="31"/>
        <v>0.92083333333333328</v>
      </c>
      <c r="DU6" s="17">
        <f t="shared" si="32"/>
        <v>0.87698412698412698</v>
      </c>
      <c r="DV6" s="16">
        <v>111</v>
      </c>
      <c r="DW6" s="17">
        <f t="shared" si="33"/>
        <v>0.92500000000000004</v>
      </c>
      <c r="DX6" s="17">
        <f t="shared" si="34"/>
        <v>0.88095238095238093</v>
      </c>
      <c r="DY6" s="57">
        <f t="shared" si="67"/>
        <v>3.7709677419354835</v>
      </c>
      <c r="DZ6" s="57">
        <f t="shared" si="35"/>
        <v>4.0774193548387094</v>
      </c>
      <c r="EA6" s="57">
        <f>BS6/K6</f>
        <v>3.9774193548387098</v>
      </c>
      <c r="EB6" s="57"/>
      <c r="EC6" s="57">
        <f t="shared" si="36"/>
        <v>3.5016129032258063</v>
      </c>
      <c r="ED6" s="57">
        <f t="shared" si="70"/>
        <v>3.7258064516129035</v>
      </c>
      <c r="EE6" s="57">
        <f t="shared" si="37"/>
        <v>3.1064516129032258</v>
      </c>
      <c r="EF6" s="57">
        <f>BY6/K6</f>
        <v>3.9419354838709677</v>
      </c>
      <c r="EG6" s="57"/>
      <c r="EH6" s="57">
        <f t="shared" si="38"/>
        <v>3.7245161290322577</v>
      </c>
      <c r="EI6" s="57">
        <f t="shared" si="39"/>
        <v>3.7395161290322583</v>
      </c>
      <c r="EJ6" s="57">
        <f t="shared" si="40"/>
        <v>3.7612903225806451</v>
      </c>
      <c r="EK6" s="57">
        <f t="shared" si="41"/>
        <v>2.0096774193548388</v>
      </c>
      <c r="EL6" s="13">
        <v>88.7</v>
      </c>
      <c r="EM6" s="13">
        <f>EL6-H6</f>
        <v>0.5</v>
      </c>
      <c r="EN6" s="12">
        <v>3.5</v>
      </c>
      <c r="EO6" s="12">
        <v>3.1</v>
      </c>
      <c r="EP6" s="12">
        <v>16.7</v>
      </c>
      <c r="EQ6" s="14">
        <f>(EP6-S6)/S6*100</f>
        <v>12.155809267965068</v>
      </c>
      <c r="ER6" s="45">
        <v>1.01</v>
      </c>
      <c r="ES6" s="14">
        <f>EP6/3.5</f>
        <v>4.7714285714285714</v>
      </c>
      <c r="ET6" s="14">
        <f>EP6/EO6</f>
        <v>5.387096774193548</v>
      </c>
      <c r="EU6" s="12">
        <v>1.34</v>
      </c>
      <c r="EV6" s="12">
        <v>100</v>
      </c>
      <c r="EW6" s="12">
        <f>EV6-X6</f>
        <v>10</v>
      </c>
      <c r="EX6" s="12">
        <v>609</v>
      </c>
      <c r="EY6" s="12">
        <f>EX6-Y6</f>
        <v>52</v>
      </c>
      <c r="EZ6" s="12">
        <v>11.5</v>
      </c>
      <c r="FA6" s="12">
        <f>EZ6-Z6</f>
        <v>0.15000000000000036</v>
      </c>
      <c r="FB6" s="12">
        <v>50</v>
      </c>
      <c r="FC6" s="12">
        <v>10</v>
      </c>
      <c r="FD6" s="12">
        <v>300</v>
      </c>
      <c r="FE6" s="12">
        <f>FD6-AC6</f>
        <v>70</v>
      </c>
      <c r="FF6" s="14">
        <v>13</v>
      </c>
      <c r="FG6" s="12">
        <v>70</v>
      </c>
      <c r="FH6" s="12">
        <v>440</v>
      </c>
      <c r="FI6" s="12">
        <f>FH6-AG6</f>
        <v>90</v>
      </c>
      <c r="FJ6" s="12">
        <v>26.5</v>
      </c>
      <c r="FK6" s="12">
        <f>FJ6-AH6</f>
        <v>-1.3999999999999986</v>
      </c>
      <c r="FL6" s="12">
        <v>78</v>
      </c>
      <c r="FM6" s="12">
        <v>97</v>
      </c>
      <c r="FN6" s="12">
        <v>110</v>
      </c>
      <c r="FO6" s="12">
        <v>130</v>
      </c>
      <c r="FP6" s="28">
        <v>3.1</v>
      </c>
      <c r="FQ6" s="25">
        <v>14.2</v>
      </c>
      <c r="FR6" s="26">
        <f>FQ6/EP6</f>
        <v>0.85029940119760483</v>
      </c>
      <c r="FS6" s="27">
        <f>FQ6/3.5</f>
        <v>4.0571428571428569</v>
      </c>
      <c r="FT6" s="27">
        <f>FQ6/FP6</f>
        <v>4.5806451612903221</v>
      </c>
      <c r="FU6" s="25">
        <v>1.19</v>
      </c>
      <c r="FV6" s="27">
        <v>10</v>
      </c>
      <c r="FW6" s="25">
        <v>10.6</v>
      </c>
      <c r="FX6" s="25">
        <v>11.03</v>
      </c>
      <c r="FY6" s="26">
        <f>FX6/EP6</f>
        <v>0.66047904191616769</v>
      </c>
      <c r="FZ6" s="27">
        <f>FX6/3.5</f>
        <v>3.1514285714285712</v>
      </c>
      <c r="GA6" s="27">
        <f>FX6/FP6</f>
        <v>3.5580645161290319</v>
      </c>
      <c r="GB6" s="25">
        <v>1.0900000000000001</v>
      </c>
      <c r="GC6" s="25">
        <v>12.5</v>
      </c>
      <c r="GD6" s="25">
        <v>9.8000000000000007</v>
      </c>
      <c r="GE6" s="25">
        <v>10.199999999999999</v>
      </c>
      <c r="GF6" s="25">
        <v>10.199999999999999</v>
      </c>
      <c r="GG6" s="28">
        <v>10.7</v>
      </c>
      <c r="GI6" s="25">
        <v>12.7</v>
      </c>
      <c r="GJ6" s="27">
        <f>AVERAGE(GI6,GF6,GD6,GC6)</f>
        <v>11.3</v>
      </c>
      <c r="GK6" s="25">
        <f>AVERAGE(GG6,GE6)</f>
        <v>10.45</v>
      </c>
      <c r="GL6" s="46" t="s">
        <v>197</v>
      </c>
      <c r="GM6" s="25">
        <v>8.1</v>
      </c>
      <c r="GN6" s="25">
        <v>71</v>
      </c>
      <c r="GO6" s="25">
        <v>127</v>
      </c>
      <c r="GP6" s="26">
        <f>GO6/FO6</f>
        <v>0.97692307692307689</v>
      </c>
      <c r="GQ6" s="25" t="s">
        <v>39</v>
      </c>
      <c r="GR6" s="25">
        <v>86</v>
      </c>
      <c r="GS6" s="25">
        <v>89</v>
      </c>
      <c r="GT6" s="25">
        <v>100</v>
      </c>
      <c r="GU6" s="25">
        <v>109</v>
      </c>
      <c r="GV6" s="25">
        <v>110</v>
      </c>
      <c r="GW6" s="25">
        <v>108</v>
      </c>
      <c r="GX6" s="25">
        <v>78</v>
      </c>
      <c r="GY6" s="25">
        <v>102</v>
      </c>
      <c r="GZ6" s="29">
        <v>104</v>
      </c>
      <c r="HB6" s="29">
        <f>AVERAGE(GY6,GW6,GV6,GU6)</f>
        <v>107.25</v>
      </c>
      <c r="HC6" s="25">
        <f>AVERAGE(GZ6,GX6)</f>
        <v>91</v>
      </c>
      <c r="HD6" s="47" t="s">
        <v>197</v>
      </c>
      <c r="HE6" s="25">
        <v>94</v>
      </c>
      <c r="HF6" s="16">
        <v>13</v>
      </c>
      <c r="HG6" s="16">
        <v>14</v>
      </c>
      <c r="HH6" s="16">
        <v>13</v>
      </c>
      <c r="HJ6" s="16">
        <v>3</v>
      </c>
      <c r="HK6" s="16">
        <v>3</v>
      </c>
      <c r="HL6" s="16">
        <v>3</v>
      </c>
      <c r="HM6" s="51">
        <v>13</v>
      </c>
      <c r="HN6" s="51">
        <v>15</v>
      </c>
      <c r="HO6" s="58">
        <f>AVERAGE(13,13,15)</f>
        <v>13.666666666666666</v>
      </c>
      <c r="HP6" s="51">
        <v>1</v>
      </c>
      <c r="HQ6" s="51">
        <v>5</v>
      </c>
      <c r="HR6" s="58">
        <f>AVERAGE(5,5,2,1)</f>
        <v>3.25</v>
      </c>
      <c r="HS6" s="53">
        <v>4986</v>
      </c>
      <c r="HT6">
        <v>18.3</v>
      </c>
      <c r="HU6">
        <v>3.3</v>
      </c>
      <c r="HV6">
        <v>1.29</v>
      </c>
      <c r="HW6">
        <v>31.1</v>
      </c>
      <c r="HX6" s="94">
        <f>HW6*H6</f>
        <v>2743.0200000000004</v>
      </c>
      <c r="HY6">
        <v>8240</v>
      </c>
      <c r="HZ6">
        <v>18.8</v>
      </c>
      <c r="IA6">
        <v>3.3</v>
      </c>
      <c r="IB6">
        <v>1.87</v>
      </c>
      <c r="IC6">
        <v>33.799999999999997</v>
      </c>
      <c r="ID6" s="94">
        <f>IC6*EL6</f>
        <v>2998.06</v>
      </c>
    </row>
    <row r="7" spans="1:238" x14ac:dyDescent="0.35">
      <c r="A7">
        <v>6</v>
      </c>
      <c r="B7" t="s">
        <v>155</v>
      </c>
      <c r="C7" t="s">
        <v>239</v>
      </c>
      <c r="E7" t="s">
        <v>43</v>
      </c>
      <c r="F7">
        <v>65</v>
      </c>
      <c r="G7">
        <v>1.76</v>
      </c>
      <c r="H7" s="23">
        <v>97</v>
      </c>
      <c r="I7" s="23">
        <f t="shared" si="42"/>
        <v>31.31456611570248</v>
      </c>
      <c r="J7" s="23">
        <v>3.84</v>
      </c>
      <c r="K7" s="23">
        <v>2.9</v>
      </c>
      <c r="L7" s="23">
        <v>23.06</v>
      </c>
      <c r="M7" s="7">
        <f t="shared" si="0"/>
        <v>0.77927146574154382</v>
      </c>
      <c r="N7" s="7">
        <f t="shared" si="1"/>
        <v>0.49045967042497834</v>
      </c>
      <c r="O7" s="7">
        <f t="shared" si="2"/>
        <v>0.62938230383973293</v>
      </c>
      <c r="P7" s="7">
        <f t="shared" si="68"/>
        <v>0.73233166388425164</v>
      </c>
      <c r="Q7" s="7">
        <f t="shared" si="43"/>
        <v>0.55806237558062377</v>
      </c>
      <c r="R7" s="7">
        <f t="shared" si="44"/>
        <v>0.68082282680822837</v>
      </c>
      <c r="S7" s="4">
        <v>17.97</v>
      </c>
      <c r="T7" s="71">
        <f t="shared" si="45"/>
        <v>19.9467</v>
      </c>
      <c r="U7" s="4">
        <f t="shared" si="3"/>
        <v>5.1342857142857143</v>
      </c>
      <c r="V7" s="4">
        <f t="shared" si="4"/>
        <v>6.1965517241379304</v>
      </c>
      <c r="W7" s="1">
        <v>1.03</v>
      </c>
      <c r="X7" s="1">
        <v>130</v>
      </c>
      <c r="Y7" s="1">
        <f>13*60+8</f>
        <v>788</v>
      </c>
      <c r="Z7" s="1">
        <v>11.31</v>
      </c>
      <c r="AA7" s="5">
        <f t="shared" si="46"/>
        <v>12.554100000000002</v>
      </c>
      <c r="AB7" s="1">
        <v>60</v>
      </c>
      <c r="AC7" s="1">
        <f>5*60+20</f>
        <v>320</v>
      </c>
      <c r="AD7" s="1">
        <v>13.16</v>
      </c>
      <c r="AE7" s="4">
        <f t="shared" si="47"/>
        <v>14.607600000000001</v>
      </c>
      <c r="AF7" s="1">
        <v>80</v>
      </c>
      <c r="AG7" s="1">
        <f>7*60+30</f>
        <v>450</v>
      </c>
      <c r="AH7" s="1">
        <v>27.41</v>
      </c>
      <c r="AI7" s="1" t="s">
        <v>97</v>
      </c>
      <c r="AJ7" s="1">
        <v>104</v>
      </c>
      <c r="AK7" s="1">
        <v>126</v>
      </c>
      <c r="AL7" s="1">
        <v>132</v>
      </c>
      <c r="AM7" s="1">
        <v>155</v>
      </c>
      <c r="AN7" s="34">
        <f t="shared" si="48"/>
        <v>162.75</v>
      </c>
      <c r="AO7" s="18">
        <v>2.9</v>
      </c>
      <c r="AP7" s="18">
        <v>15.25</v>
      </c>
      <c r="AQ7" s="17">
        <f t="shared" si="5"/>
        <v>0.84863661658319423</v>
      </c>
      <c r="AR7" s="33">
        <f t="shared" si="6"/>
        <v>0.76453749241729207</v>
      </c>
      <c r="AS7" s="18">
        <f t="shared" si="7"/>
        <v>4.3571428571428568</v>
      </c>
      <c r="AT7" s="18">
        <f t="shared" si="8"/>
        <v>5.2586206896551726</v>
      </c>
      <c r="AU7" s="19">
        <v>0.9</v>
      </c>
      <c r="AV7" s="16">
        <v>11.66</v>
      </c>
      <c r="AW7" s="16">
        <v>12.11</v>
      </c>
      <c r="AX7" s="18">
        <f t="shared" si="49"/>
        <v>11.885</v>
      </c>
      <c r="AY7" s="18">
        <f t="shared" si="9"/>
        <v>4.0206896551724141</v>
      </c>
      <c r="AZ7" s="18">
        <f t="shared" si="10"/>
        <v>4.1758620689655173</v>
      </c>
      <c r="BA7" s="18">
        <f t="shared" si="50"/>
        <v>4.0982758620689657</v>
      </c>
      <c r="BB7" s="17">
        <f t="shared" si="11"/>
        <v>0.67390094602114636</v>
      </c>
      <c r="BC7" s="17">
        <f t="shared" si="12"/>
        <v>0.66138007790762388</v>
      </c>
      <c r="BD7" s="33">
        <f t="shared" si="13"/>
        <v>0.59583790802488634</v>
      </c>
      <c r="BE7" s="16">
        <v>10.31</v>
      </c>
      <c r="BF7" s="18" t="s">
        <v>39</v>
      </c>
      <c r="BG7" s="17">
        <f t="shared" si="14"/>
        <v>0.49170537491705379</v>
      </c>
      <c r="BH7" s="33">
        <f t="shared" si="15"/>
        <v>0.57373400111296613</v>
      </c>
      <c r="BI7" s="33">
        <f t="shared" si="16"/>
        <v>0.51687747848014964</v>
      </c>
      <c r="BJ7" s="33">
        <f t="shared" si="51"/>
        <v>0.91158267020335981</v>
      </c>
      <c r="BK7" s="33">
        <f t="shared" si="52"/>
        <v>0.82124564883185569</v>
      </c>
      <c r="BL7" s="33">
        <f t="shared" si="53"/>
        <v>0.78343465045592708</v>
      </c>
      <c r="BM7" s="33">
        <f t="shared" si="54"/>
        <v>0.70579698239272703</v>
      </c>
      <c r="BN7" s="18">
        <f t="shared" si="17"/>
        <v>2.9457142857142857</v>
      </c>
      <c r="BO7" s="18">
        <f t="shared" si="18"/>
        <v>3.5551724137931036</v>
      </c>
      <c r="BP7" s="16">
        <v>1.04</v>
      </c>
      <c r="BQ7" s="18">
        <v>12</v>
      </c>
      <c r="BR7" s="18">
        <f>AVERAGE(13.56,13.72)</f>
        <v>13.64</v>
      </c>
      <c r="BS7" s="18">
        <v>11.84</v>
      </c>
      <c r="BU7" s="18">
        <v>8.59</v>
      </c>
      <c r="BV7" s="103">
        <f t="shared" si="19"/>
        <v>0.4780189204229271</v>
      </c>
      <c r="BW7" s="18">
        <f>AVERAGE(9.3,8.86)</f>
        <v>9.08</v>
      </c>
      <c r="BX7" s="18">
        <v>8.84</v>
      </c>
      <c r="CA7" s="18">
        <f t="shared" si="71"/>
        <v>10.89</v>
      </c>
      <c r="CB7" s="17">
        <f t="shared" si="55"/>
        <v>0.60601001669449084</v>
      </c>
      <c r="CC7" s="17">
        <f t="shared" si="56"/>
        <v>0.54595496999503679</v>
      </c>
      <c r="CD7" s="18">
        <f>AVERAGE(BU7,BS7)</f>
        <v>10.215</v>
      </c>
      <c r="CE7" s="109">
        <f t="shared" si="57"/>
        <v>10.5525</v>
      </c>
      <c r="CF7" s="17">
        <f t="shared" si="58"/>
        <v>0.56844741235392326</v>
      </c>
      <c r="CG7" s="17">
        <f t="shared" si="59"/>
        <v>0.51211478590443527</v>
      </c>
      <c r="CH7" s="18">
        <f t="shared" si="20"/>
        <v>5.5642412466723821</v>
      </c>
      <c r="CI7" s="18">
        <f>AVERAGE(9.65,6.68)</f>
        <v>8.1649999999999991</v>
      </c>
      <c r="CJ7" s="17">
        <f t="shared" si="60"/>
        <v>0.45436839176405119</v>
      </c>
      <c r="CK7" s="17">
        <f t="shared" si="61"/>
        <v>0.40934089348112718</v>
      </c>
      <c r="CL7" s="18">
        <v>6.21</v>
      </c>
      <c r="CM7" s="17">
        <f t="shared" si="62"/>
        <v>0.34557595993322204</v>
      </c>
      <c r="CN7" s="17">
        <f t="shared" si="63"/>
        <v>0.31132969363353336</v>
      </c>
      <c r="CO7" s="16">
        <v>86</v>
      </c>
      <c r="CP7" s="16">
        <v>142</v>
      </c>
      <c r="CQ7" s="17">
        <f t="shared" si="21"/>
        <v>0.91612903225806452</v>
      </c>
      <c r="CR7" s="16" t="s">
        <v>38</v>
      </c>
      <c r="CS7" s="16">
        <v>115</v>
      </c>
      <c r="CT7" s="16">
        <v>120</v>
      </c>
      <c r="CU7" s="20">
        <f t="shared" si="64"/>
        <v>117.5</v>
      </c>
      <c r="CV7" s="17">
        <f t="shared" si="22"/>
        <v>0.77419354838709675</v>
      </c>
      <c r="CW7" s="17">
        <f t="shared" si="23"/>
        <v>0.75806451612903225</v>
      </c>
      <c r="CX7" s="17">
        <f t="shared" si="24"/>
        <v>0.72196620583717352</v>
      </c>
      <c r="CY7" s="16">
        <v>126</v>
      </c>
      <c r="CZ7" s="17">
        <f t="shared" si="25"/>
        <v>0.81290322580645158</v>
      </c>
      <c r="DA7" s="17">
        <f t="shared" si="65"/>
        <v>0.77419354838709675</v>
      </c>
      <c r="DB7" s="16">
        <v>123</v>
      </c>
      <c r="DC7" s="20">
        <f>AVERAGE(126,139)</f>
        <v>132.5</v>
      </c>
      <c r="DF7" s="16">
        <v>124</v>
      </c>
      <c r="DH7" s="16">
        <v>127</v>
      </c>
      <c r="DI7" s="103">
        <f t="shared" si="26"/>
        <v>0.8193548387096774</v>
      </c>
      <c r="DJ7" s="16">
        <f>AVERAGE(115,129)</f>
        <v>122</v>
      </c>
      <c r="DK7" s="16">
        <v>126</v>
      </c>
      <c r="DL7" s="20">
        <f t="shared" si="72"/>
        <v>125.875</v>
      </c>
      <c r="DM7" s="20">
        <f t="shared" si="69"/>
        <v>125.5</v>
      </c>
      <c r="DN7" s="20">
        <f t="shared" si="66"/>
        <v>125.6875</v>
      </c>
      <c r="DO7" s="20">
        <f>AVERAGE(111,134)</f>
        <v>122.5</v>
      </c>
      <c r="DP7" s="17">
        <f t="shared" si="27"/>
        <v>0.81209677419354842</v>
      </c>
      <c r="DQ7" s="17">
        <f t="shared" si="28"/>
        <v>0.77342549923195081</v>
      </c>
      <c r="DR7" s="17">
        <f t="shared" si="29"/>
        <v>0.80967741935483872</v>
      </c>
      <c r="DS7" s="17">
        <f t="shared" si="30"/>
        <v>0.77112135176651309</v>
      </c>
      <c r="DT7" s="17">
        <f t="shared" si="31"/>
        <v>0.79032258064516125</v>
      </c>
      <c r="DU7" s="17">
        <f t="shared" si="32"/>
        <v>0.75268817204301075</v>
      </c>
      <c r="DV7" s="16">
        <v>129</v>
      </c>
      <c r="DW7" s="17">
        <f t="shared" si="33"/>
        <v>0.83225806451612905</v>
      </c>
      <c r="DX7" s="17">
        <f t="shared" si="34"/>
        <v>0.79262672811059909</v>
      </c>
      <c r="DY7" s="57">
        <f t="shared" si="67"/>
        <v>4.1379310344827589</v>
      </c>
      <c r="DZ7" s="57">
        <f t="shared" si="35"/>
        <v>4.703448275862069</v>
      </c>
      <c r="EA7" s="57">
        <f>BS7/K7</f>
        <v>4.0827586206896553</v>
      </c>
      <c r="EB7" s="57"/>
      <c r="EC7" s="57">
        <f t="shared" si="36"/>
        <v>2.9620689655172416</v>
      </c>
      <c r="ED7" s="57">
        <f t="shared" si="70"/>
        <v>3.1310344827586207</v>
      </c>
      <c r="EE7" s="57">
        <f t="shared" si="37"/>
        <v>3.0482758620689654</v>
      </c>
      <c r="EF7" s="57"/>
      <c r="EG7" s="57"/>
      <c r="EH7" s="57">
        <f t="shared" si="38"/>
        <v>3.7551724137931037</v>
      </c>
      <c r="EI7" s="57">
        <f t="shared" si="39"/>
        <v>3.5224137931034485</v>
      </c>
      <c r="EJ7" s="57">
        <f t="shared" si="40"/>
        <v>2.8155172413793101</v>
      </c>
      <c r="EK7" s="57">
        <f t="shared" si="41"/>
        <v>2.1413793103448278</v>
      </c>
      <c r="HE7" s="25" t="s">
        <v>75</v>
      </c>
      <c r="HF7" s="66"/>
      <c r="HG7" s="66"/>
      <c r="HH7" s="20">
        <v>13</v>
      </c>
      <c r="HI7" s="20"/>
      <c r="HJ7" s="64"/>
      <c r="HK7" s="64"/>
      <c r="HL7" s="20">
        <v>5</v>
      </c>
      <c r="HM7" s="66"/>
      <c r="HN7" s="67"/>
      <c r="HO7" s="68" t="s">
        <v>75</v>
      </c>
      <c r="HP7" s="67"/>
      <c r="HQ7" s="67"/>
      <c r="HR7" s="68" t="s">
        <v>75</v>
      </c>
      <c r="HS7" s="63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</row>
    <row r="8" spans="1:238" x14ac:dyDescent="0.35">
      <c r="A8">
        <v>7</v>
      </c>
      <c r="B8" t="s">
        <v>155</v>
      </c>
      <c r="C8" t="s">
        <v>241</v>
      </c>
      <c r="D8" t="s">
        <v>254</v>
      </c>
      <c r="E8" t="s">
        <v>43</v>
      </c>
      <c r="F8">
        <v>53</v>
      </c>
      <c r="G8">
        <v>1.8</v>
      </c>
      <c r="H8" s="23">
        <v>94.7</v>
      </c>
      <c r="I8" s="23">
        <f t="shared" si="42"/>
        <v>29.228395061728396</v>
      </c>
      <c r="J8" s="23">
        <v>3.68</v>
      </c>
      <c r="K8" s="23">
        <v>3.54</v>
      </c>
      <c r="L8" s="23">
        <v>29.1</v>
      </c>
      <c r="M8" s="7">
        <f t="shared" si="0"/>
        <v>0.5230240549828179</v>
      </c>
      <c r="N8" s="7">
        <f t="shared" si="1"/>
        <v>0.29450171821305843</v>
      </c>
      <c r="O8" s="7">
        <f t="shared" si="2"/>
        <v>0.56307490144546646</v>
      </c>
      <c r="P8" s="7">
        <f t="shared" si="68"/>
        <v>0.96517739816031534</v>
      </c>
      <c r="Q8" s="7">
        <f t="shared" si="43"/>
        <v>0.43065068493150688</v>
      </c>
      <c r="R8" s="7">
        <f t="shared" si="44"/>
        <v>0.95462328767123272</v>
      </c>
      <c r="S8" s="4">
        <v>15.22</v>
      </c>
      <c r="T8" s="71">
        <f t="shared" si="45"/>
        <v>16.894200000000001</v>
      </c>
      <c r="U8" s="4">
        <f t="shared" si="3"/>
        <v>4.3485714285714288</v>
      </c>
      <c r="V8" s="4">
        <f t="shared" si="4"/>
        <v>4.2994350282485874</v>
      </c>
      <c r="W8" s="1">
        <v>1.27</v>
      </c>
      <c r="X8" s="1">
        <v>100</v>
      </c>
      <c r="Y8" s="1">
        <v>617</v>
      </c>
      <c r="Z8" s="1">
        <v>8.57</v>
      </c>
      <c r="AA8" s="5">
        <f t="shared" si="46"/>
        <v>9.5127000000000006</v>
      </c>
      <c r="AB8" s="8">
        <v>50</v>
      </c>
      <c r="AC8" s="1">
        <v>310</v>
      </c>
      <c r="AD8" s="1">
        <v>14.69</v>
      </c>
      <c r="AE8" s="4">
        <f t="shared" si="47"/>
        <v>16.305900000000001</v>
      </c>
      <c r="AF8" s="1">
        <v>90</v>
      </c>
      <c r="AG8" s="1">
        <v>540</v>
      </c>
      <c r="AH8" s="1">
        <v>31.88</v>
      </c>
      <c r="AJ8" s="1">
        <v>54</v>
      </c>
      <c r="AK8" s="1">
        <v>69</v>
      </c>
      <c r="AL8" s="1">
        <v>87</v>
      </c>
      <c r="AM8" s="1">
        <v>92</v>
      </c>
      <c r="AN8" s="34">
        <f t="shared" si="48"/>
        <v>96.600000000000009</v>
      </c>
      <c r="AO8" s="18">
        <v>3.54</v>
      </c>
      <c r="AP8" s="18">
        <v>17.93</v>
      </c>
      <c r="AQ8" s="17">
        <f t="shared" si="5"/>
        <v>1.1780551905387646</v>
      </c>
      <c r="AR8" s="33">
        <f t="shared" si="6"/>
        <v>1.0613109824673554</v>
      </c>
      <c r="AS8" s="18">
        <f t="shared" si="7"/>
        <v>5.1228571428571428</v>
      </c>
      <c r="AT8" s="18">
        <f t="shared" si="8"/>
        <v>5.0649717514124291</v>
      </c>
      <c r="AU8" s="16">
        <v>1.1299999999999999</v>
      </c>
      <c r="AV8" s="16">
        <v>12.56</v>
      </c>
      <c r="AW8" s="16">
        <v>13.05</v>
      </c>
      <c r="AX8" s="18">
        <f t="shared" si="49"/>
        <v>12.805</v>
      </c>
      <c r="AY8" s="18">
        <f t="shared" si="9"/>
        <v>3.5480225988700567</v>
      </c>
      <c r="AZ8" s="18">
        <f t="shared" si="10"/>
        <v>3.6864406779661016</v>
      </c>
      <c r="BA8" s="18">
        <f t="shared" si="50"/>
        <v>3.6172316384180792</v>
      </c>
      <c r="BB8" s="17">
        <f t="shared" si="11"/>
        <v>0.85742444152431008</v>
      </c>
      <c r="BC8" s="17">
        <f t="shared" si="12"/>
        <v>0.84132720105124825</v>
      </c>
      <c r="BD8" s="33">
        <f t="shared" si="13"/>
        <v>0.75795243337950291</v>
      </c>
      <c r="BE8" s="19">
        <v>12.7</v>
      </c>
      <c r="BF8" s="18" t="s">
        <v>39</v>
      </c>
      <c r="BG8" s="17">
        <f t="shared" si="14"/>
        <v>0.78424657534246578</v>
      </c>
      <c r="BH8" s="33">
        <f t="shared" si="15"/>
        <v>0.83442838370565042</v>
      </c>
      <c r="BI8" s="33">
        <f t="shared" si="16"/>
        <v>0.75173728261770301</v>
      </c>
      <c r="BJ8" s="33">
        <f t="shared" si="51"/>
        <v>1.4819136522753791</v>
      </c>
      <c r="BK8" s="33">
        <f t="shared" si="52"/>
        <v>1.3350573443922333</v>
      </c>
      <c r="BL8" s="33">
        <f t="shared" si="53"/>
        <v>0.86453369639210342</v>
      </c>
      <c r="BM8" s="33">
        <f t="shared" si="54"/>
        <v>0.77885918593883186</v>
      </c>
      <c r="BN8" s="18">
        <f t="shared" si="17"/>
        <v>3.6285714285714286</v>
      </c>
      <c r="BO8" s="18">
        <f t="shared" si="18"/>
        <v>3.5875706214689265</v>
      </c>
      <c r="BP8" s="16">
        <v>1.1499999999999999</v>
      </c>
      <c r="BQ8" s="18">
        <f>AVERAGE(11.74,12.42)</f>
        <v>12.08</v>
      </c>
      <c r="BR8" s="18">
        <v>14.3</v>
      </c>
      <c r="BS8" s="18">
        <v>15.49</v>
      </c>
      <c r="BU8" s="18">
        <v>12.06</v>
      </c>
      <c r="BV8" s="103">
        <f t="shared" si="19"/>
        <v>0.79237844940867275</v>
      </c>
      <c r="BW8" s="18">
        <v>13.97</v>
      </c>
      <c r="BX8" s="18">
        <v>11.94</v>
      </c>
      <c r="BY8" s="16">
        <v>14.5</v>
      </c>
      <c r="CA8" s="18">
        <f t="shared" si="71"/>
        <v>13.357999999999999</v>
      </c>
      <c r="CB8" s="17">
        <f t="shared" si="55"/>
        <v>0.87766097240473051</v>
      </c>
      <c r="CC8" s="17">
        <f t="shared" si="56"/>
        <v>0.79068556072498242</v>
      </c>
      <c r="CD8" s="18">
        <f>AVERAGE(BU8,BS8)</f>
        <v>13.775</v>
      </c>
      <c r="CE8" s="109">
        <f t="shared" si="57"/>
        <v>13.5665</v>
      </c>
      <c r="CF8" s="17">
        <f t="shared" si="58"/>
        <v>0.90505913272010508</v>
      </c>
      <c r="CG8" s="17">
        <f t="shared" si="59"/>
        <v>0.81536858803613066</v>
      </c>
      <c r="CH8" s="18">
        <f t="shared" si="20"/>
        <v>7.2003366332824275</v>
      </c>
      <c r="CI8" s="18">
        <f>(AVERAGE(10.21,11.31))</f>
        <v>10.760000000000002</v>
      </c>
      <c r="CJ8" s="17">
        <f t="shared" si="60"/>
        <v>0.706964520367937</v>
      </c>
      <c r="CK8" s="17">
        <f t="shared" si="61"/>
        <v>0.63690497330444773</v>
      </c>
      <c r="CL8" s="18">
        <v>7.36</v>
      </c>
      <c r="CM8" s="17">
        <f t="shared" si="62"/>
        <v>0.4835742444152431</v>
      </c>
      <c r="CN8" s="17">
        <f t="shared" si="63"/>
        <v>0.43565247244616495</v>
      </c>
      <c r="CO8" s="16">
        <v>52</v>
      </c>
      <c r="CP8" s="16">
        <v>119</v>
      </c>
      <c r="CQ8" s="17">
        <f t="shared" si="21"/>
        <v>1.2934782608695652</v>
      </c>
      <c r="CR8" s="16" t="s">
        <v>39</v>
      </c>
      <c r="CS8" s="16">
        <v>73</v>
      </c>
      <c r="CT8" s="16">
        <v>79</v>
      </c>
      <c r="CU8" s="20">
        <f t="shared" si="64"/>
        <v>76</v>
      </c>
      <c r="CV8" s="17">
        <f t="shared" si="22"/>
        <v>0.85869565217391308</v>
      </c>
      <c r="CW8" s="17">
        <f t="shared" si="23"/>
        <v>0.82608695652173914</v>
      </c>
      <c r="CX8" s="17">
        <f t="shared" si="24"/>
        <v>0.78674948240165621</v>
      </c>
      <c r="CY8" s="16">
        <v>99</v>
      </c>
      <c r="CZ8" s="17">
        <f t="shared" si="25"/>
        <v>1.076086956521739</v>
      </c>
      <c r="DA8" s="17">
        <f t="shared" si="65"/>
        <v>1.0248447204968942</v>
      </c>
      <c r="DB8" s="20">
        <f>AVERAGE(88,103)</f>
        <v>95.5</v>
      </c>
      <c r="DC8" s="16">
        <v>108</v>
      </c>
      <c r="DD8" s="16">
        <v>97</v>
      </c>
      <c r="DF8" s="16">
        <v>110</v>
      </c>
      <c r="DH8" s="16">
        <v>104</v>
      </c>
      <c r="DI8" s="103">
        <f t="shared" si="26"/>
        <v>1.1304347826086956</v>
      </c>
      <c r="DK8" s="16">
        <v>89</v>
      </c>
      <c r="DL8" s="20">
        <f t="shared" si="72"/>
        <v>97.375</v>
      </c>
      <c r="DM8" s="16">
        <f t="shared" si="69"/>
        <v>107</v>
      </c>
      <c r="DN8" s="20">
        <f t="shared" si="66"/>
        <v>102.1875</v>
      </c>
      <c r="DO8" s="20">
        <f>AVERAGE(100,99)</f>
        <v>99.5</v>
      </c>
      <c r="DP8" s="17">
        <f t="shared" si="27"/>
        <v>1.0584239130434783</v>
      </c>
      <c r="DQ8" s="17">
        <f t="shared" si="28"/>
        <v>1.0080227743271222</v>
      </c>
      <c r="DR8" s="17">
        <f t="shared" si="29"/>
        <v>1.1630434782608696</v>
      </c>
      <c r="DS8" s="17">
        <f t="shared" si="30"/>
        <v>1.1076604554865424</v>
      </c>
      <c r="DT8" s="17">
        <f t="shared" si="31"/>
        <v>1.0815217391304348</v>
      </c>
      <c r="DU8" s="17">
        <f t="shared" si="32"/>
        <v>1.0300207039337472</v>
      </c>
      <c r="DV8" s="16">
        <v>80</v>
      </c>
      <c r="DW8" s="17">
        <f t="shared" si="33"/>
        <v>0.86956521739130432</v>
      </c>
      <c r="DX8" s="17">
        <f t="shared" si="34"/>
        <v>0.82815734989648027</v>
      </c>
      <c r="DY8" s="57">
        <f t="shared" si="67"/>
        <v>3.4124293785310735</v>
      </c>
      <c r="DZ8" s="57">
        <f t="shared" si="35"/>
        <v>4.0395480225988702</v>
      </c>
      <c r="EA8" s="57">
        <f>BS8/K8</f>
        <v>4.3757062146892656</v>
      </c>
      <c r="EB8" s="57"/>
      <c r="EC8" s="57">
        <f t="shared" si="36"/>
        <v>3.4067796610169494</v>
      </c>
      <c r="ED8" s="57">
        <f t="shared" si="70"/>
        <v>3.9463276836158192</v>
      </c>
      <c r="EE8" s="57">
        <f t="shared" si="37"/>
        <v>3.3728813559322033</v>
      </c>
      <c r="EF8" s="57">
        <f>BY8/K8</f>
        <v>4.0960451977401133</v>
      </c>
      <c r="EG8" s="57"/>
      <c r="EH8" s="57">
        <f t="shared" si="38"/>
        <v>3.7734463276836157</v>
      </c>
      <c r="EI8" s="57">
        <f t="shared" si="39"/>
        <v>3.8912429378531073</v>
      </c>
      <c r="EJ8" s="57">
        <f t="shared" si="40"/>
        <v>3.0395480225988702</v>
      </c>
      <c r="EK8" s="57">
        <f t="shared" si="41"/>
        <v>2.0790960451977401</v>
      </c>
      <c r="EL8" s="12">
        <v>94.9</v>
      </c>
      <c r="EM8" s="13">
        <f>EL8-H8</f>
        <v>0.20000000000000284</v>
      </c>
      <c r="EN8" s="12">
        <v>3.3</v>
      </c>
      <c r="EO8" s="12">
        <v>3.3</v>
      </c>
      <c r="EP8" s="12">
        <v>15.7</v>
      </c>
      <c r="EQ8" s="14">
        <f>(EP8-S8)/S8*100</f>
        <v>3.1537450722733151</v>
      </c>
      <c r="ER8" s="44">
        <f>EP8/L8</f>
        <v>0.53951890034364258</v>
      </c>
      <c r="ES8" s="14">
        <f>EP8/3.5</f>
        <v>4.4857142857142858</v>
      </c>
      <c r="ET8" s="14">
        <f>EP8/EO8</f>
        <v>4.7575757575757578</v>
      </c>
      <c r="EU8" s="12">
        <v>1.35</v>
      </c>
      <c r="EV8" s="12">
        <v>120</v>
      </c>
      <c r="EW8" s="12">
        <f>EV8-X8</f>
        <v>20</v>
      </c>
      <c r="EX8" s="12">
        <v>720</v>
      </c>
      <c r="EY8" s="12">
        <f>EX8-Y8</f>
        <v>103</v>
      </c>
      <c r="EZ8" s="12">
        <v>9.8000000000000007</v>
      </c>
      <c r="FA8" s="12">
        <f>EZ8-Z8</f>
        <v>1.2300000000000004</v>
      </c>
      <c r="FB8" s="12">
        <v>60</v>
      </c>
      <c r="FC8" s="12">
        <v>10</v>
      </c>
      <c r="FD8" s="12">
        <v>360</v>
      </c>
      <c r="FE8" s="12">
        <f>FD8-AC8</f>
        <v>50</v>
      </c>
      <c r="FF8" s="12">
        <v>12.8</v>
      </c>
      <c r="FG8" s="12">
        <v>80</v>
      </c>
      <c r="FH8" s="12">
        <v>475</v>
      </c>
      <c r="FI8" s="12">
        <f>FH8-AG8</f>
        <v>-65</v>
      </c>
      <c r="FJ8" s="12">
        <v>28.5</v>
      </c>
      <c r="FK8" s="12">
        <f>FJ8-AH8</f>
        <v>-3.379999999999999</v>
      </c>
      <c r="FL8" s="12">
        <v>49</v>
      </c>
      <c r="FM8" s="12">
        <v>68</v>
      </c>
      <c r="FN8" s="12">
        <v>79</v>
      </c>
      <c r="FO8" s="12">
        <v>99</v>
      </c>
      <c r="FP8" s="25">
        <v>3.65</v>
      </c>
      <c r="FQ8" s="27">
        <v>16</v>
      </c>
      <c r="FR8" s="26">
        <f>FQ8/EP8</f>
        <v>1.0191082802547771</v>
      </c>
      <c r="FS8" s="27">
        <f>FQ8/3.5</f>
        <v>4.5714285714285712</v>
      </c>
      <c r="FT8" s="27">
        <f>FQ8/FP8</f>
        <v>4.3835616438356162</v>
      </c>
      <c r="FU8" s="28">
        <v>0.9</v>
      </c>
      <c r="FV8" s="25">
        <v>8.24</v>
      </c>
      <c r="FW8" s="25">
        <v>9.0500000000000007</v>
      </c>
      <c r="FX8" s="25">
        <v>13.27</v>
      </c>
      <c r="FY8" s="26">
        <f>FX8/EP8</f>
        <v>0.84522292993630577</v>
      </c>
      <c r="FZ8" s="27">
        <f>FX8/3.5</f>
        <v>3.7914285714285714</v>
      </c>
      <c r="GA8" s="27">
        <f>FX8/FP8</f>
        <v>3.6356164383561644</v>
      </c>
      <c r="GB8" s="25">
        <v>1.02</v>
      </c>
      <c r="GC8" s="25">
        <v>14.5</v>
      </c>
      <c r="GD8" s="25">
        <v>13.9</v>
      </c>
      <c r="GE8" s="25">
        <v>14.2</v>
      </c>
      <c r="GF8" s="27">
        <v>12</v>
      </c>
      <c r="GG8" s="25">
        <v>12.2</v>
      </c>
      <c r="GI8" s="27">
        <v>15</v>
      </c>
      <c r="GJ8" s="27">
        <f>AVERAGE(GI8,GF8,GD8,GC8)</f>
        <v>13.85</v>
      </c>
      <c r="GK8" s="25">
        <f>AVERAGE(GG8,GE8)</f>
        <v>13.2</v>
      </c>
      <c r="GL8" s="25">
        <v>9.3000000000000007</v>
      </c>
      <c r="GM8" s="25">
        <v>8.6</v>
      </c>
      <c r="GN8" s="25">
        <v>52</v>
      </c>
      <c r="GO8" s="25">
        <v>102</v>
      </c>
      <c r="GP8" s="26">
        <f>GO8/FO8</f>
        <v>1.0303030303030303</v>
      </c>
      <c r="GQ8" s="25" t="s">
        <v>38</v>
      </c>
      <c r="GR8" s="25">
        <v>65</v>
      </c>
      <c r="GS8" s="25">
        <v>68</v>
      </c>
      <c r="GT8" s="25">
        <v>86</v>
      </c>
      <c r="GU8" s="25">
        <v>87</v>
      </c>
      <c r="GV8" s="25">
        <v>82</v>
      </c>
      <c r="GW8" s="25">
        <v>97</v>
      </c>
      <c r="GX8" s="25">
        <v>82</v>
      </c>
      <c r="GY8" s="25">
        <v>75</v>
      </c>
      <c r="GZ8" s="25">
        <v>90</v>
      </c>
      <c r="HB8" s="29">
        <f>AVERAGE(GY8,GW8,GV8,GU8)</f>
        <v>85.25</v>
      </c>
      <c r="HC8" s="25">
        <f>AVERAGE(GZ8,GX8)</f>
        <v>86</v>
      </c>
      <c r="HD8" s="25">
        <v>75</v>
      </c>
      <c r="HE8" s="25">
        <v>73</v>
      </c>
      <c r="HF8" s="64"/>
      <c r="HG8" s="64"/>
      <c r="HH8" s="64"/>
      <c r="HI8" s="64"/>
      <c r="HJ8" s="64"/>
      <c r="HK8" s="64"/>
      <c r="HL8" s="64"/>
      <c r="HM8" s="51">
        <v>11</v>
      </c>
      <c r="HN8" s="51">
        <v>14</v>
      </c>
      <c r="HO8" s="58">
        <f>AVERAGE(11,13,13,14,13)</f>
        <v>12.8</v>
      </c>
      <c r="HP8" s="51">
        <v>3</v>
      </c>
      <c r="HQ8" s="51">
        <v>5</v>
      </c>
      <c r="HR8" s="58">
        <v>4</v>
      </c>
      <c r="HS8" s="53">
        <v>6671</v>
      </c>
      <c r="HT8">
        <v>18.2</v>
      </c>
      <c r="HU8">
        <v>4.4000000000000004</v>
      </c>
      <c r="HV8">
        <v>1.37</v>
      </c>
      <c r="HW8">
        <v>33.299999999999997</v>
      </c>
      <c r="HX8" s="94">
        <f>HW8*H8</f>
        <v>3153.5099999999998</v>
      </c>
      <c r="HY8">
        <v>8105</v>
      </c>
      <c r="HZ8">
        <v>18.2</v>
      </c>
      <c r="IA8" s="23">
        <v>4</v>
      </c>
      <c r="IB8">
        <v>1.7</v>
      </c>
      <c r="IC8">
        <v>33.799999999999997</v>
      </c>
      <c r="ID8" s="94">
        <f>IC8*EL8</f>
        <v>3207.62</v>
      </c>
    </row>
    <row r="9" spans="1:238" x14ac:dyDescent="0.35">
      <c r="A9">
        <v>8</v>
      </c>
      <c r="B9" t="s">
        <v>155</v>
      </c>
      <c r="C9" t="s">
        <v>241</v>
      </c>
      <c r="E9" t="s">
        <v>44</v>
      </c>
      <c r="F9">
        <v>48</v>
      </c>
      <c r="G9">
        <v>1.66</v>
      </c>
      <c r="H9" s="23">
        <v>70.599999999999994</v>
      </c>
      <c r="I9" s="23">
        <f t="shared" si="42"/>
        <v>25.620554507185368</v>
      </c>
      <c r="J9" s="23">
        <v>3.81</v>
      </c>
      <c r="K9" s="23">
        <v>2.79</v>
      </c>
      <c r="L9" s="23">
        <v>23</v>
      </c>
      <c r="M9" s="7">
        <f t="shared" si="0"/>
        <v>0.53130434782608693</v>
      </c>
      <c r="N9" s="7">
        <f t="shared" si="1"/>
        <v>0.31391304347826088</v>
      </c>
      <c r="O9" s="7">
        <f t="shared" si="2"/>
        <v>0.5908346972176759</v>
      </c>
      <c r="P9" s="7">
        <f t="shared" si="68"/>
        <v>0.93044189852700476</v>
      </c>
      <c r="Q9" s="7">
        <f t="shared" si="43"/>
        <v>0.46977730646871685</v>
      </c>
      <c r="R9" s="7">
        <f t="shared" si="44"/>
        <v>0.90986214209968175</v>
      </c>
      <c r="S9" s="4">
        <v>12.22</v>
      </c>
      <c r="T9" s="71">
        <f t="shared" si="45"/>
        <v>13.564200000000001</v>
      </c>
      <c r="U9" s="4">
        <f t="shared" si="3"/>
        <v>3.4914285714285715</v>
      </c>
      <c r="V9" s="4">
        <f t="shared" si="4"/>
        <v>4.3799283154121866</v>
      </c>
      <c r="W9" s="1">
        <v>1.37</v>
      </c>
      <c r="X9" s="1">
        <v>100</v>
      </c>
      <c r="Y9" s="1">
        <v>630</v>
      </c>
      <c r="Z9" s="1">
        <v>7.22</v>
      </c>
      <c r="AA9" s="5">
        <f t="shared" si="46"/>
        <v>8.0142000000000007</v>
      </c>
      <c r="AB9" s="1">
        <v>40</v>
      </c>
      <c r="AC9" s="1">
        <v>240</v>
      </c>
      <c r="AD9" s="1">
        <v>11.37</v>
      </c>
      <c r="AE9" s="4">
        <f t="shared" si="47"/>
        <v>12.620699999999999</v>
      </c>
      <c r="AF9" s="1">
        <v>80</v>
      </c>
      <c r="AG9" s="1">
        <v>520</v>
      </c>
      <c r="AH9" s="1">
        <v>28.77</v>
      </c>
      <c r="AJ9" s="1">
        <v>60</v>
      </c>
      <c r="AK9" s="1">
        <v>84</v>
      </c>
      <c r="AL9" s="1">
        <v>110</v>
      </c>
      <c r="AM9" s="1">
        <v>118</v>
      </c>
      <c r="AN9" s="34">
        <f t="shared" si="48"/>
        <v>123.9</v>
      </c>
      <c r="AO9" s="18">
        <v>2.79</v>
      </c>
      <c r="AP9" s="18">
        <v>16.61</v>
      </c>
      <c r="AQ9" s="17">
        <f t="shared" si="5"/>
        <v>1.3592471358428804</v>
      </c>
      <c r="AR9" s="33">
        <f t="shared" si="6"/>
        <v>1.2245469692278201</v>
      </c>
      <c r="AS9" s="18">
        <f t="shared" si="7"/>
        <v>4.7457142857142856</v>
      </c>
      <c r="AT9" s="18">
        <f t="shared" si="8"/>
        <v>5.9534050179211464</v>
      </c>
      <c r="AU9" s="16">
        <v>1.04</v>
      </c>
      <c r="AV9" s="16">
        <v>13.75</v>
      </c>
      <c r="AW9" s="16">
        <v>14.88</v>
      </c>
      <c r="AX9" s="18">
        <f t="shared" si="49"/>
        <v>14.315000000000001</v>
      </c>
      <c r="AY9" s="18">
        <f t="shared" si="9"/>
        <v>4.9283154121863797</v>
      </c>
      <c r="AZ9" s="18">
        <f t="shared" si="10"/>
        <v>5.3333333333333339</v>
      </c>
      <c r="BA9" s="18">
        <f t="shared" si="50"/>
        <v>5.1308243727598573</v>
      </c>
      <c r="BB9" s="17">
        <f t="shared" si="11"/>
        <v>1.2176759410801965</v>
      </c>
      <c r="BC9" s="17">
        <f t="shared" si="12"/>
        <v>1.1714402618657938</v>
      </c>
      <c r="BD9" s="33">
        <f t="shared" si="13"/>
        <v>1.0553515872664809</v>
      </c>
      <c r="BE9" s="16">
        <v>10.63</v>
      </c>
      <c r="BF9" s="18" t="s">
        <v>39</v>
      </c>
      <c r="BG9" s="17">
        <f t="shared" si="14"/>
        <v>0.83138918345705204</v>
      </c>
      <c r="BH9" s="33">
        <f t="shared" si="15"/>
        <v>0.86988543371522098</v>
      </c>
      <c r="BI9" s="33">
        <f t="shared" si="16"/>
        <v>0.78368057091461341</v>
      </c>
      <c r="BJ9" s="33">
        <f t="shared" si="51"/>
        <v>1.4722991689750695</v>
      </c>
      <c r="BK9" s="33">
        <f t="shared" si="52"/>
        <v>1.3263956477252876</v>
      </c>
      <c r="BL9" s="33">
        <f t="shared" si="53"/>
        <v>0.93491644678979779</v>
      </c>
      <c r="BM9" s="33">
        <f t="shared" si="54"/>
        <v>0.84226706917999805</v>
      </c>
      <c r="BN9" s="18">
        <f t="shared" si="17"/>
        <v>3.0371428571428574</v>
      </c>
      <c r="BO9" s="18">
        <f t="shared" si="18"/>
        <v>3.8100358422939071</v>
      </c>
      <c r="BP9" s="16">
        <v>1.1599999999999999</v>
      </c>
      <c r="BQ9" s="18">
        <v>12.95</v>
      </c>
      <c r="BR9" s="18">
        <v>12.54</v>
      </c>
      <c r="BS9" s="18">
        <v>11.15</v>
      </c>
      <c r="BU9" s="18">
        <f>AVERAGE(8.03,8.59)</f>
        <v>8.3099999999999987</v>
      </c>
      <c r="BV9" s="103">
        <f t="shared" si="19"/>
        <v>0.68003273322422242</v>
      </c>
      <c r="BW9" s="18">
        <v>10.94</v>
      </c>
      <c r="BX9" s="18">
        <f>AVERAGE(14.66,8.45)</f>
        <v>11.555</v>
      </c>
      <c r="CA9" s="18">
        <f t="shared" si="71"/>
        <v>11.99625</v>
      </c>
      <c r="CB9" s="17">
        <f t="shared" si="55"/>
        <v>0.98168985270049092</v>
      </c>
      <c r="CC9" s="17">
        <f t="shared" si="56"/>
        <v>0.88440527270314495</v>
      </c>
      <c r="CD9" s="18">
        <f>AVERAGE(BU9,BS9)</f>
        <v>9.73</v>
      </c>
      <c r="CE9" s="109">
        <f t="shared" si="57"/>
        <v>10.863125</v>
      </c>
      <c r="CF9" s="17">
        <f t="shared" si="58"/>
        <v>0.79623567921440264</v>
      </c>
      <c r="CG9" s="17">
        <f t="shared" si="59"/>
        <v>0.71732944073369598</v>
      </c>
      <c r="CH9" s="18">
        <f t="shared" si="20"/>
        <v>5.898086281350909</v>
      </c>
      <c r="CI9" s="18">
        <f>AVERAGE(10.41,8.49)</f>
        <v>9.4499999999999993</v>
      </c>
      <c r="CJ9" s="17">
        <f t="shared" si="60"/>
        <v>0.77332242225859238</v>
      </c>
      <c r="CK9" s="17">
        <f t="shared" si="61"/>
        <v>0.69668686689963277</v>
      </c>
      <c r="CL9" s="18">
        <v>6.95</v>
      </c>
      <c r="CM9" s="17">
        <f t="shared" si="62"/>
        <v>0.56873977086743044</v>
      </c>
      <c r="CN9" s="17">
        <f t="shared" si="63"/>
        <v>0.51237817195264002</v>
      </c>
      <c r="CO9" s="16">
        <v>63</v>
      </c>
      <c r="CP9" s="16">
        <v>111</v>
      </c>
      <c r="CQ9" s="17">
        <f t="shared" si="21"/>
        <v>0.94067796610169496</v>
      </c>
      <c r="CR9" s="16" t="s">
        <v>38</v>
      </c>
      <c r="CS9" s="16">
        <v>91</v>
      </c>
      <c r="CT9" s="16">
        <v>97</v>
      </c>
      <c r="CU9" s="20">
        <f t="shared" si="64"/>
        <v>94</v>
      </c>
      <c r="CV9" s="17">
        <f t="shared" si="22"/>
        <v>0.82203389830508478</v>
      </c>
      <c r="CW9" s="17">
        <f t="shared" si="23"/>
        <v>0.79661016949152541</v>
      </c>
      <c r="CX9" s="17">
        <f t="shared" si="24"/>
        <v>0.7586763518966908</v>
      </c>
      <c r="CY9" s="16">
        <v>96</v>
      </c>
      <c r="CZ9" s="17">
        <f t="shared" si="25"/>
        <v>0.81355932203389836</v>
      </c>
      <c r="DA9" s="17">
        <f t="shared" si="65"/>
        <v>0.77481840193704599</v>
      </c>
      <c r="DB9" s="16">
        <v>96</v>
      </c>
      <c r="DC9" s="16">
        <v>102</v>
      </c>
      <c r="DF9" s="16">
        <v>97</v>
      </c>
      <c r="DH9" s="20">
        <f>AVERAGE(98,97)</f>
        <v>97.5</v>
      </c>
      <c r="DI9" s="103">
        <f t="shared" si="26"/>
        <v>0.82627118644067798</v>
      </c>
      <c r="DJ9" s="16">
        <v>97</v>
      </c>
      <c r="DK9" s="20">
        <f>AVERAGE(100,97)</f>
        <v>98.5</v>
      </c>
      <c r="DL9" s="20">
        <f t="shared" si="72"/>
        <v>98.375</v>
      </c>
      <c r="DM9" s="20">
        <f t="shared" si="69"/>
        <v>97.25</v>
      </c>
      <c r="DN9" s="20">
        <f t="shared" si="66"/>
        <v>97.8125</v>
      </c>
      <c r="DO9" s="20">
        <f>AVERAGE(91,86)</f>
        <v>88.5</v>
      </c>
      <c r="DP9" s="17">
        <f t="shared" si="27"/>
        <v>0.83368644067796616</v>
      </c>
      <c r="DQ9" s="17">
        <f t="shared" si="28"/>
        <v>0.79398708635996773</v>
      </c>
      <c r="DR9" s="17">
        <f t="shared" si="29"/>
        <v>0.82415254237288138</v>
      </c>
      <c r="DS9" s="17">
        <f t="shared" si="30"/>
        <v>0.78490718321226793</v>
      </c>
      <c r="DT9" s="17">
        <f t="shared" si="31"/>
        <v>0.75</v>
      </c>
      <c r="DU9" s="17">
        <f t="shared" si="32"/>
        <v>0.7142857142857143</v>
      </c>
      <c r="DV9" s="16">
        <v>85</v>
      </c>
      <c r="DW9" s="17">
        <f t="shared" si="33"/>
        <v>0.72033898305084743</v>
      </c>
      <c r="DX9" s="17">
        <f t="shared" si="34"/>
        <v>0.68603712671509276</v>
      </c>
      <c r="DY9" s="57">
        <f t="shared" si="67"/>
        <v>4.6415770609318994</v>
      </c>
      <c r="DZ9" s="57">
        <f t="shared" si="35"/>
        <v>4.4946236559139781</v>
      </c>
      <c r="EA9" s="57">
        <f>BS9/K9</f>
        <v>3.9964157706093189</v>
      </c>
      <c r="EB9" s="57"/>
      <c r="EC9" s="57">
        <f t="shared" si="36"/>
        <v>2.9784946236559136</v>
      </c>
      <c r="ED9" s="57">
        <f t="shared" si="70"/>
        <v>3.9211469534050178</v>
      </c>
      <c r="EE9" s="57">
        <f t="shared" si="37"/>
        <v>4.1415770609318994</v>
      </c>
      <c r="EF9" s="57"/>
      <c r="EG9" s="57"/>
      <c r="EH9" s="57">
        <f t="shared" si="38"/>
        <v>4.299731182795699</v>
      </c>
      <c r="EI9" s="57">
        <f t="shared" si="39"/>
        <v>3.4874551971326166</v>
      </c>
      <c r="EJ9" s="57">
        <f t="shared" si="40"/>
        <v>3.387096774193548</v>
      </c>
      <c r="EK9" s="57">
        <f t="shared" si="41"/>
        <v>2.4910394265232974</v>
      </c>
      <c r="HF9" s="16">
        <v>13</v>
      </c>
      <c r="HG9" s="16">
        <v>15</v>
      </c>
      <c r="HH9" s="16">
        <v>14</v>
      </c>
      <c r="HJ9" s="16">
        <v>0</v>
      </c>
      <c r="HK9" s="16">
        <v>0</v>
      </c>
      <c r="HL9" s="16">
        <v>0</v>
      </c>
      <c r="HR9" s="58"/>
      <c r="HS9" s="88">
        <v>8209</v>
      </c>
      <c r="HT9" s="48">
        <v>16.7</v>
      </c>
      <c r="HU9" s="48">
        <v>4.5</v>
      </c>
      <c r="HV9" s="48">
        <v>1.73</v>
      </c>
      <c r="HW9" s="48">
        <v>32.5</v>
      </c>
      <c r="HX9" s="94">
        <f>HW9*H9</f>
        <v>2294.5</v>
      </c>
      <c r="HY9" s="48"/>
      <c r="HZ9" s="48"/>
      <c r="IA9" s="48"/>
      <c r="IB9" s="48"/>
      <c r="IC9" s="48"/>
      <c r="ID9" s="94">
        <f>IC9*N9</f>
        <v>0</v>
      </c>
    </row>
    <row r="10" spans="1:238" x14ac:dyDescent="0.35">
      <c r="A10">
        <v>9</v>
      </c>
      <c r="B10" t="s">
        <v>155</v>
      </c>
      <c r="C10" t="s">
        <v>239</v>
      </c>
      <c r="E10" t="s">
        <v>43</v>
      </c>
      <c r="F10">
        <v>58</v>
      </c>
      <c r="G10">
        <v>1.77</v>
      </c>
      <c r="H10" s="23">
        <v>81</v>
      </c>
      <c r="I10" s="23">
        <f t="shared" si="42"/>
        <v>25.854639471416256</v>
      </c>
      <c r="J10" s="23">
        <v>2.94</v>
      </c>
      <c r="K10" s="23">
        <v>2.94</v>
      </c>
      <c r="L10" s="23">
        <v>30.4</v>
      </c>
      <c r="M10" s="7">
        <f t="shared" si="0"/>
        <v>0.5</v>
      </c>
      <c r="N10" s="7">
        <f t="shared" si="1"/>
        <v>0.4210526315789474</v>
      </c>
      <c r="O10" s="7">
        <f t="shared" ref="O10:O16" si="73">Z10/S10</f>
        <v>0.8421052631578948</v>
      </c>
      <c r="P10" s="7">
        <f t="shared" si="68"/>
        <v>0.92105263157894746</v>
      </c>
      <c r="Q10" s="7">
        <f t="shared" si="43"/>
        <v>0.80424143556280603</v>
      </c>
      <c r="R10" s="7">
        <f t="shared" si="44"/>
        <v>0.90212071778140301</v>
      </c>
      <c r="S10" s="1">
        <v>15.2</v>
      </c>
      <c r="T10" s="71">
        <f t="shared" si="45"/>
        <v>16.872</v>
      </c>
      <c r="U10" s="4">
        <f t="shared" ref="U10:U15" si="74">S10/3.5</f>
        <v>4.3428571428571425</v>
      </c>
      <c r="V10" s="4">
        <f t="shared" si="4"/>
        <v>5.1700680272108839</v>
      </c>
      <c r="W10" s="1">
        <v>1.25</v>
      </c>
      <c r="X10" s="1">
        <v>110</v>
      </c>
      <c r="Y10" s="1">
        <v>635</v>
      </c>
      <c r="Z10" s="1">
        <v>12.8</v>
      </c>
      <c r="AA10" s="5">
        <f t="shared" si="46"/>
        <v>14.208000000000002</v>
      </c>
      <c r="AB10" s="1">
        <v>50</v>
      </c>
      <c r="AC10" s="1">
        <v>300</v>
      </c>
      <c r="AD10" s="4">
        <v>14</v>
      </c>
      <c r="AE10" s="4">
        <f t="shared" si="47"/>
        <v>15.540000000000001</v>
      </c>
      <c r="AF10" s="1">
        <v>70</v>
      </c>
      <c r="AG10" s="1">
        <v>410</v>
      </c>
      <c r="AH10" s="1">
        <v>31.1</v>
      </c>
      <c r="AJ10" s="1">
        <v>73</v>
      </c>
      <c r="AK10" s="1">
        <v>102</v>
      </c>
      <c r="AL10" s="1">
        <v>113</v>
      </c>
      <c r="AM10" s="1">
        <v>147</v>
      </c>
      <c r="AN10" s="34">
        <f t="shared" si="48"/>
        <v>154.35</v>
      </c>
      <c r="AO10" s="18">
        <v>2.94</v>
      </c>
      <c r="AP10" s="18">
        <v>18.5</v>
      </c>
      <c r="AQ10" s="17">
        <f t="shared" si="5"/>
        <v>1.2171052631578947</v>
      </c>
      <c r="AR10" s="33">
        <f t="shared" si="6"/>
        <v>1.0964912280701755</v>
      </c>
      <c r="AS10" s="18">
        <f t="shared" si="7"/>
        <v>5.2857142857142856</v>
      </c>
      <c r="AT10" s="18">
        <f t="shared" si="8"/>
        <v>6.2925170068027212</v>
      </c>
      <c r="AU10" s="16">
        <v>1.04</v>
      </c>
      <c r="AV10" s="16">
        <v>13.2</v>
      </c>
      <c r="AW10" s="16">
        <v>13.5</v>
      </c>
      <c r="AX10" s="18">
        <f t="shared" si="49"/>
        <v>13.35</v>
      </c>
      <c r="AY10" s="18">
        <f t="shared" si="9"/>
        <v>4.4897959183673466</v>
      </c>
      <c r="AZ10" s="18">
        <f t="shared" si="10"/>
        <v>4.591836734693878</v>
      </c>
      <c r="BA10" s="18">
        <f t="shared" si="50"/>
        <v>4.5408163265306118</v>
      </c>
      <c r="BB10" s="17">
        <f t="shared" si="11"/>
        <v>0.88815789473684215</v>
      </c>
      <c r="BC10" s="17">
        <f t="shared" si="12"/>
        <v>0.87828947368421051</v>
      </c>
      <c r="BD10" s="33">
        <f t="shared" si="13"/>
        <v>0.79125177809388336</v>
      </c>
      <c r="BE10" s="16">
        <v>15.1</v>
      </c>
      <c r="BF10" s="18" t="s">
        <v>38</v>
      </c>
      <c r="BG10" s="17">
        <f t="shared" si="14"/>
        <v>0.99184339314845027</v>
      </c>
      <c r="BH10" s="33">
        <f t="shared" si="15"/>
        <v>0.99342105263157898</v>
      </c>
      <c r="BI10" s="33">
        <f t="shared" si="16"/>
        <v>0.89497392128971076</v>
      </c>
      <c r="BJ10" s="33">
        <f t="shared" si="51"/>
        <v>1.1796875</v>
      </c>
      <c r="BK10" s="33">
        <f t="shared" si="52"/>
        <v>1.0627815315315314</v>
      </c>
      <c r="BL10" s="33">
        <f t="shared" si="53"/>
        <v>1.0785714285714285</v>
      </c>
      <c r="BM10" s="33">
        <f t="shared" si="54"/>
        <v>0.97168597168597159</v>
      </c>
      <c r="BN10" s="18">
        <f t="shared" si="17"/>
        <v>4.3142857142857141</v>
      </c>
      <c r="BO10" s="18">
        <f t="shared" si="18"/>
        <v>5.1360544217687076</v>
      </c>
      <c r="BP10" s="16">
        <v>1.03</v>
      </c>
      <c r="BQ10" s="16">
        <v>15.7</v>
      </c>
      <c r="BR10" s="16">
        <f>AVERAGE(15.2,15.8)</f>
        <v>15.5</v>
      </c>
      <c r="BS10" s="16">
        <v>15.9</v>
      </c>
      <c r="BU10" s="16">
        <v>15.6</v>
      </c>
      <c r="BV10" s="103">
        <f t="shared" si="19"/>
        <v>1.0263157894736843</v>
      </c>
      <c r="BW10" s="16">
        <v>15.6</v>
      </c>
      <c r="BX10" s="16">
        <f>AVERAGE(12.3,13.3)</f>
        <v>12.8</v>
      </c>
      <c r="BY10" s="16">
        <v>15</v>
      </c>
      <c r="CA10" s="18">
        <f t="shared" si="71"/>
        <v>14.919999999999998</v>
      </c>
      <c r="CB10" s="17">
        <f t="shared" si="55"/>
        <v>0.981578947368421</v>
      </c>
      <c r="CC10" s="17">
        <f t="shared" si="56"/>
        <v>0.88430535798956844</v>
      </c>
      <c r="CD10" s="18">
        <f>AVERAGE(BU10,BS10)</f>
        <v>15.75</v>
      </c>
      <c r="CE10" s="109">
        <f t="shared" si="57"/>
        <v>15.334999999999999</v>
      </c>
      <c r="CF10" s="17">
        <f t="shared" si="58"/>
        <v>1.0361842105263159</v>
      </c>
      <c r="CG10" s="17">
        <f t="shared" si="59"/>
        <v>0.9334992887624467</v>
      </c>
      <c r="CH10" s="18">
        <f t="shared" si="20"/>
        <v>8.1339710763394972</v>
      </c>
      <c r="CI10" s="18">
        <f>AVERAGE(15.3)</f>
        <v>15.3</v>
      </c>
      <c r="CJ10" s="17">
        <f t="shared" si="60"/>
        <v>1.0065789473684212</v>
      </c>
      <c r="CK10" s="17">
        <f t="shared" si="61"/>
        <v>0.90682788051209107</v>
      </c>
      <c r="CL10" s="16">
        <v>8.6999999999999993</v>
      </c>
      <c r="CM10" s="17">
        <f t="shared" si="62"/>
        <v>0.57236842105263153</v>
      </c>
      <c r="CN10" s="17">
        <f t="shared" si="63"/>
        <v>0.51564722617354197</v>
      </c>
      <c r="CO10" s="16">
        <v>88</v>
      </c>
      <c r="CP10" s="16">
        <v>147</v>
      </c>
      <c r="CQ10" s="17">
        <f t="shared" si="21"/>
        <v>1</v>
      </c>
      <c r="CR10" s="16" t="s">
        <v>38</v>
      </c>
      <c r="CS10" s="16">
        <v>116</v>
      </c>
      <c r="CT10" s="16">
        <v>121</v>
      </c>
      <c r="CU10" s="20">
        <f t="shared" si="64"/>
        <v>118.5</v>
      </c>
      <c r="CV10" s="17">
        <f t="shared" si="22"/>
        <v>0.8231292517006803</v>
      </c>
      <c r="CW10" s="17">
        <f t="shared" si="23"/>
        <v>0.80612244897959184</v>
      </c>
      <c r="CX10" s="17">
        <f t="shared" si="24"/>
        <v>0.76773566569484941</v>
      </c>
      <c r="CY10" s="16">
        <v>136</v>
      </c>
      <c r="CZ10" s="17">
        <f t="shared" si="25"/>
        <v>0.92517006802721091</v>
      </c>
      <c r="DA10" s="17">
        <f t="shared" si="65"/>
        <v>0.88111435050210563</v>
      </c>
      <c r="DB10" s="16">
        <v>127</v>
      </c>
      <c r="DC10" s="16">
        <f>AVERAGE(130,138)</f>
        <v>134</v>
      </c>
      <c r="DD10" s="16">
        <v>131</v>
      </c>
      <c r="DF10" s="16">
        <v>135</v>
      </c>
      <c r="DH10" s="16">
        <v>141</v>
      </c>
      <c r="DI10" s="103">
        <f t="shared" si="26"/>
        <v>0.95918367346938771</v>
      </c>
      <c r="DJ10" s="16">
        <v>142</v>
      </c>
      <c r="DK10" s="16">
        <f>AVERAGE(125,139)</f>
        <v>132</v>
      </c>
      <c r="DL10" s="20">
        <f t="shared" si="72"/>
        <v>133.19999999999999</v>
      </c>
      <c r="DM10" s="20">
        <f t="shared" si="69"/>
        <v>138</v>
      </c>
      <c r="DN10" s="20">
        <f t="shared" si="66"/>
        <v>135.6</v>
      </c>
      <c r="DO10" s="16">
        <f>AVERAGE(142)</f>
        <v>142</v>
      </c>
      <c r="DP10" s="17">
        <f t="shared" si="27"/>
        <v>0.90612244897959171</v>
      </c>
      <c r="DQ10" s="17">
        <f t="shared" si="28"/>
        <v>0.86297376093294453</v>
      </c>
      <c r="DR10" s="17">
        <f t="shared" si="29"/>
        <v>0.93877551020408168</v>
      </c>
      <c r="DS10" s="17">
        <f t="shared" si="30"/>
        <v>0.89407191448007772</v>
      </c>
      <c r="DT10" s="17">
        <f t="shared" si="31"/>
        <v>0.96598639455782309</v>
      </c>
      <c r="DU10" s="17">
        <f t="shared" si="32"/>
        <v>0.91998704243602203</v>
      </c>
      <c r="DV10" s="16">
        <v>133</v>
      </c>
      <c r="DW10" s="17">
        <f t="shared" si="33"/>
        <v>0.90476190476190477</v>
      </c>
      <c r="DX10" s="17">
        <f t="shared" si="34"/>
        <v>0.86167800453514742</v>
      </c>
      <c r="DY10" s="57">
        <f t="shared" si="67"/>
        <v>5.3401360544217686</v>
      </c>
      <c r="DZ10" s="57">
        <f t="shared" si="35"/>
        <v>5.2721088435374153</v>
      </c>
      <c r="EA10" s="57">
        <f>BS10/K10</f>
        <v>5.4081632653061229</v>
      </c>
      <c r="EB10" s="57"/>
      <c r="EC10" s="57">
        <f t="shared" si="36"/>
        <v>5.3061224489795915</v>
      </c>
      <c r="ED10" s="57">
        <f t="shared" si="70"/>
        <v>5.3061224489795915</v>
      </c>
      <c r="EE10" s="57">
        <f t="shared" si="37"/>
        <v>4.3537414965986398</v>
      </c>
      <c r="EF10" s="57">
        <f>BY10/K10</f>
        <v>5.1020408163265305</v>
      </c>
      <c r="EG10" s="57"/>
      <c r="EH10" s="57">
        <f t="shared" si="38"/>
        <v>5.074829931972789</v>
      </c>
      <c r="EI10" s="57">
        <f t="shared" si="39"/>
        <v>5.3571428571428577</v>
      </c>
      <c r="EJ10" s="57">
        <f t="shared" si="40"/>
        <v>5.2040816326530619</v>
      </c>
      <c r="EK10" s="57">
        <f t="shared" si="41"/>
        <v>2.9591836734693877</v>
      </c>
      <c r="HF10" s="16">
        <v>11</v>
      </c>
      <c r="HG10" s="16">
        <v>13</v>
      </c>
      <c r="HH10" s="20">
        <f>AVERAGE(11,11,12,13,11,13)</f>
        <v>11.833333333333334</v>
      </c>
      <c r="HI10" s="20"/>
      <c r="HJ10" s="16">
        <v>3</v>
      </c>
      <c r="HK10" s="16">
        <v>4</v>
      </c>
      <c r="HL10" s="20">
        <f>AVERAGE(4,4,3,3,4,3)</f>
        <v>3.5</v>
      </c>
      <c r="HM10" s="64"/>
      <c r="HN10" s="64"/>
      <c r="HO10" s="64"/>
      <c r="HP10" s="64"/>
      <c r="HQ10" s="64"/>
      <c r="HR10" s="69"/>
      <c r="HS10" s="53"/>
      <c r="HX10" s="94" t="s">
        <v>75</v>
      </c>
      <c r="ID10" s="94" t="s">
        <v>75</v>
      </c>
    </row>
    <row r="11" spans="1:238" x14ac:dyDescent="0.35">
      <c r="A11">
        <v>10</v>
      </c>
      <c r="B11" t="s">
        <v>155</v>
      </c>
      <c r="C11" t="s">
        <v>240</v>
      </c>
      <c r="D11" t="s">
        <v>192</v>
      </c>
      <c r="E11" t="s">
        <v>43</v>
      </c>
      <c r="F11">
        <v>66</v>
      </c>
      <c r="G11">
        <v>1.72</v>
      </c>
      <c r="H11" s="23">
        <v>117.3</v>
      </c>
      <c r="I11" s="23">
        <f t="shared" si="42"/>
        <v>39.649810708491081</v>
      </c>
      <c r="J11" s="23">
        <v>2.91</v>
      </c>
      <c r="K11" s="23">
        <v>2.91</v>
      </c>
      <c r="L11" s="23">
        <v>17</v>
      </c>
      <c r="M11" s="7">
        <f t="shared" si="0"/>
        <v>0.51764705882352946</v>
      </c>
      <c r="N11" s="7">
        <f t="shared" si="1"/>
        <v>0.35882352941176471</v>
      </c>
      <c r="O11" s="7">
        <f t="shared" si="73"/>
        <v>0.69318181818181812</v>
      </c>
      <c r="P11" s="70" t="s">
        <v>75</v>
      </c>
      <c r="Q11" s="7">
        <f t="shared" si="43"/>
        <v>0.54159592529711365</v>
      </c>
      <c r="R11" s="7" t="s">
        <v>75</v>
      </c>
      <c r="S11" s="1">
        <v>8.8000000000000007</v>
      </c>
      <c r="T11" s="71">
        <f t="shared" si="45"/>
        <v>9.7680000000000025</v>
      </c>
      <c r="U11" s="4">
        <f t="shared" si="74"/>
        <v>2.5142857142857147</v>
      </c>
      <c r="V11" s="4">
        <f t="shared" si="4"/>
        <v>3.0240549828178693</v>
      </c>
      <c r="W11" s="5">
        <v>1.1000000000000001</v>
      </c>
      <c r="X11" s="1">
        <v>60</v>
      </c>
      <c r="Y11" s="1">
        <v>360</v>
      </c>
      <c r="Z11" s="1">
        <v>6.1</v>
      </c>
      <c r="AA11" s="5">
        <f t="shared" si="46"/>
        <v>6.7709999999999999</v>
      </c>
      <c r="AB11" s="1">
        <v>20</v>
      </c>
      <c r="AC11" s="1">
        <v>120</v>
      </c>
      <c r="AD11" s="21" t="s">
        <v>96</v>
      </c>
      <c r="AE11" s="4" t="s">
        <v>75</v>
      </c>
      <c r="AF11" s="21" t="s">
        <v>96</v>
      </c>
      <c r="AG11" s="21" t="s">
        <v>96</v>
      </c>
      <c r="AH11" s="1">
        <v>32.6</v>
      </c>
      <c r="AI11" s="1" t="s">
        <v>161</v>
      </c>
      <c r="AJ11" s="1">
        <v>58</v>
      </c>
      <c r="AK11" s="1">
        <v>74</v>
      </c>
      <c r="AL11" s="21" t="s">
        <v>96</v>
      </c>
      <c r="AM11" s="1">
        <v>84</v>
      </c>
      <c r="AN11" s="34">
        <f t="shared" si="48"/>
        <v>88.2</v>
      </c>
      <c r="AO11" s="18">
        <v>2.9</v>
      </c>
      <c r="AP11" s="18">
        <v>12.8</v>
      </c>
      <c r="AQ11" s="17">
        <f t="shared" si="5"/>
        <v>1.4545454545454546</v>
      </c>
      <c r="AR11" s="33">
        <f t="shared" si="6"/>
        <v>1.3104013104013101</v>
      </c>
      <c r="AS11" s="18">
        <f t="shared" si="7"/>
        <v>3.6571428571428575</v>
      </c>
      <c r="AT11" s="18">
        <f t="shared" si="8"/>
        <v>4.4137931034482758</v>
      </c>
      <c r="AU11" s="16">
        <v>0.95</v>
      </c>
      <c r="AV11" s="16">
        <v>11.4</v>
      </c>
      <c r="AW11" s="16">
        <v>12.1</v>
      </c>
      <c r="AX11" s="18">
        <f t="shared" si="49"/>
        <v>11.75</v>
      </c>
      <c r="AY11" s="18">
        <f t="shared" si="9"/>
        <v>3.931034482758621</v>
      </c>
      <c r="AZ11" s="18">
        <f t="shared" si="10"/>
        <v>4.1580756013745699</v>
      </c>
      <c r="BA11" s="18">
        <f t="shared" si="50"/>
        <v>4.0445550420665954</v>
      </c>
      <c r="BB11" s="17">
        <f t="shared" si="11"/>
        <v>1.3749999999999998</v>
      </c>
      <c r="BC11" s="17">
        <f t="shared" si="12"/>
        <v>1.3352272727272727</v>
      </c>
      <c r="BD11" s="33">
        <f t="shared" si="13"/>
        <v>1.2029074529074526</v>
      </c>
      <c r="BE11" s="16">
        <v>11.2</v>
      </c>
      <c r="BF11" s="18" t="s">
        <v>271</v>
      </c>
      <c r="BG11" s="17">
        <f t="shared" si="14"/>
        <v>1.4074702886247874</v>
      </c>
      <c r="BH11" s="33">
        <f t="shared" si="15"/>
        <v>1.2727272727272725</v>
      </c>
      <c r="BI11" s="33">
        <f t="shared" si="16"/>
        <v>1.1466011466011463</v>
      </c>
      <c r="BJ11" s="33">
        <f t="shared" si="51"/>
        <v>1.8360655737704918</v>
      </c>
      <c r="BK11" s="33">
        <f t="shared" si="52"/>
        <v>1.6541131295229654</v>
      </c>
      <c r="BL11" s="33" t="s">
        <v>75</v>
      </c>
      <c r="BM11" s="33" t="s">
        <v>75</v>
      </c>
      <c r="BN11" s="16">
        <f t="shared" si="17"/>
        <v>3.1999999999999997</v>
      </c>
      <c r="BO11" s="18">
        <f t="shared" si="18"/>
        <v>3.8487972508591062</v>
      </c>
      <c r="BP11" s="16">
        <v>0.99</v>
      </c>
      <c r="BQ11" s="16">
        <v>10.5</v>
      </c>
      <c r="BR11" s="16">
        <v>12.6</v>
      </c>
      <c r="BU11" s="16">
        <v>10.6</v>
      </c>
      <c r="BV11" s="103">
        <f t="shared" si="19"/>
        <v>1.2045454545454544</v>
      </c>
      <c r="BW11" s="16">
        <v>11.9</v>
      </c>
      <c r="BX11" s="16">
        <v>12.5</v>
      </c>
      <c r="BZ11" s="16">
        <v>10.8</v>
      </c>
      <c r="CA11" s="18">
        <f t="shared" si="71"/>
        <v>11.875</v>
      </c>
      <c r="CB11" s="17">
        <f t="shared" si="55"/>
        <v>1.3494318181818181</v>
      </c>
      <c r="CC11" s="17">
        <f t="shared" si="56"/>
        <v>1.2157043407043404</v>
      </c>
      <c r="CD11" s="18">
        <f>AVERAGE(BU11,BS11,BZ11)</f>
        <v>10.7</v>
      </c>
      <c r="CE11" s="109">
        <f t="shared" si="57"/>
        <v>11.2875</v>
      </c>
      <c r="CF11" s="17">
        <f t="shared" si="58"/>
        <v>1.2159090909090908</v>
      </c>
      <c r="CG11" s="17">
        <f t="shared" si="59"/>
        <v>1.0954135954135951</v>
      </c>
      <c r="CH11" s="18">
        <f t="shared" si="20"/>
        <v>6.2850340397215394</v>
      </c>
      <c r="CI11" s="18">
        <f>AVERAGE(12.2,11.1,10.9,10.3)</f>
        <v>11.125</v>
      </c>
      <c r="CJ11" s="17">
        <f t="shared" si="60"/>
        <v>1.2642045454545454</v>
      </c>
      <c r="CK11" s="17">
        <f t="shared" si="61"/>
        <v>1.1389230139230135</v>
      </c>
      <c r="CL11" s="16">
        <v>8.8000000000000007</v>
      </c>
      <c r="CM11" s="17">
        <f t="shared" si="62"/>
        <v>1</v>
      </c>
      <c r="CN11" s="17">
        <f t="shared" si="63"/>
        <v>0.90090090090090069</v>
      </c>
      <c r="CO11" s="16">
        <v>59</v>
      </c>
      <c r="CP11" s="16">
        <v>104</v>
      </c>
      <c r="CQ11" s="60">
        <f t="shared" si="21"/>
        <v>1.2380952380952381</v>
      </c>
      <c r="CR11" s="16" t="s">
        <v>38</v>
      </c>
      <c r="CS11" s="16">
        <v>66</v>
      </c>
      <c r="CT11" s="16">
        <v>81</v>
      </c>
      <c r="CU11" s="20">
        <f t="shared" si="64"/>
        <v>73.5</v>
      </c>
      <c r="CV11" s="17">
        <f t="shared" si="22"/>
        <v>0.9642857142857143</v>
      </c>
      <c r="CW11" s="17">
        <f t="shared" si="23"/>
        <v>0.875</v>
      </c>
      <c r="CX11" s="17">
        <f t="shared" si="24"/>
        <v>0.83333333333333326</v>
      </c>
      <c r="CY11" s="16">
        <v>81</v>
      </c>
      <c r="CZ11" s="17">
        <f t="shared" si="25"/>
        <v>0.9642857142857143</v>
      </c>
      <c r="DA11" s="17">
        <f t="shared" si="65"/>
        <v>0.91836734693877553</v>
      </c>
      <c r="DB11" s="16">
        <v>88</v>
      </c>
      <c r="DE11" s="16">
        <v>81</v>
      </c>
      <c r="DH11" s="16">
        <v>76</v>
      </c>
      <c r="DI11" s="103">
        <f t="shared" si="26"/>
        <v>0.90476190476190477</v>
      </c>
      <c r="DJ11" s="16">
        <v>77</v>
      </c>
      <c r="DK11" s="16">
        <v>79</v>
      </c>
      <c r="DL11" s="20">
        <f t="shared" si="72"/>
        <v>81.333333333333329</v>
      </c>
      <c r="DM11" s="20">
        <f>AVERAGE(DE11,DF11:DH11)</f>
        <v>78.5</v>
      </c>
      <c r="DN11" s="20">
        <f t="shared" si="66"/>
        <v>79.916666666666657</v>
      </c>
      <c r="DO11" s="20">
        <f>AVERAGE(88,81,87,78)</f>
        <v>83.5</v>
      </c>
      <c r="DP11" s="17">
        <f t="shared" si="27"/>
        <v>0.96825396825396814</v>
      </c>
      <c r="DQ11" s="17">
        <f t="shared" si="28"/>
        <v>0.92214663643235062</v>
      </c>
      <c r="DR11" s="17">
        <f t="shared" si="29"/>
        <v>0.93452380952380953</v>
      </c>
      <c r="DS11" s="17">
        <f t="shared" si="30"/>
        <v>0.89002267573696148</v>
      </c>
      <c r="DT11" s="17">
        <f t="shared" si="31"/>
        <v>0.99404761904761907</v>
      </c>
      <c r="DU11" s="17">
        <f t="shared" si="32"/>
        <v>0.94671201814058958</v>
      </c>
      <c r="DV11" s="16">
        <v>74</v>
      </c>
      <c r="DW11" s="17">
        <f t="shared" si="33"/>
        <v>0.88095238095238093</v>
      </c>
      <c r="DX11" s="17">
        <f t="shared" si="34"/>
        <v>0.83900226757369611</v>
      </c>
      <c r="DY11" s="57">
        <f t="shared" si="67"/>
        <v>3.608247422680412</v>
      </c>
      <c r="DZ11" s="57">
        <f t="shared" si="35"/>
        <v>4.3298969072164946</v>
      </c>
      <c r="EA11" s="57"/>
      <c r="EC11" s="57">
        <f t="shared" si="36"/>
        <v>3.6426116838487967</v>
      </c>
      <c r="ED11" s="57">
        <f t="shared" si="70"/>
        <v>4.0893470790378004</v>
      </c>
      <c r="EE11" s="57">
        <f t="shared" si="37"/>
        <v>4.2955326460481098</v>
      </c>
      <c r="EG11" s="57">
        <f>BZ11/AO11</f>
        <v>3.7241379310344831</v>
      </c>
      <c r="EH11" s="57">
        <f t="shared" si="38"/>
        <v>4.0807560137457042</v>
      </c>
      <c r="EI11" s="57">
        <f t="shared" si="39"/>
        <v>3.6769759450171815</v>
      </c>
      <c r="EJ11" s="57">
        <f t="shared" si="40"/>
        <v>3.8230240549828176</v>
      </c>
      <c r="EK11" s="57">
        <f t="shared" si="41"/>
        <v>3.0240549828178693</v>
      </c>
      <c r="HF11" s="16">
        <v>13</v>
      </c>
      <c r="HG11" s="16">
        <v>13</v>
      </c>
      <c r="HH11" s="16">
        <v>13</v>
      </c>
      <c r="HJ11" s="16">
        <v>5</v>
      </c>
      <c r="HK11" s="16">
        <v>5</v>
      </c>
      <c r="HL11" s="16">
        <v>5</v>
      </c>
      <c r="HR11" s="58"/>
      <c r="HS11" s="53">
        <v>3945</v>
      </c>
      <c r="HT11" s="23">
        <v>20</v>
      </c>
      <c r="HU11">
        <v>2.9</v>
      </c>
      <c r="HV11">
        <v>1.03</v>
      </c>
      <c r="HW11" s="23">
        <v>32</v>
      </c>
      <c r="HX11" s="94">
        <f>HW11*H11</f>
        <v>3753.6</v>
      </c>
      <c r="ID11" s="94">
        <f>IC11*N11</f>
        <v>0</v>
      </c>
    </row>
    <row r="12" spans="1:238" x14ac:dyDescent="0.35">
      <c r="A12">
        <v>11</v>
      </c>
      <c r="B12" t="s">
        <v>155</v>
      </c>
      <c r="C12" t="s">
        <v>240</v>
      </c>
      <c r="D12" t="s">
        <v>215</v>
      </c>
      <c r="E12" t="s">
        <v>43</v>
      </c>
      <c r="F12">
        <v>69</v>
      </c>
      <c r="G12">
        <v>1.87</v>
      </c>
      <c r="H12" s="23">
        <v>118.3</v>
      </c>
      <c r="I12" s="23">
        <f t="shared" si="42"/>
        <v>33.829963682118439</v>
      </c>
      <c r="J12" s="23">
        <v>3.33</v>
      </c>
      <c r="K12" s="23">
        <v>3.33</v>
      </c>
      <c r="L12" s="23">
        <v>23.1</v>
      </c>
      <c r="M12" s="7">
        <f t="shared" si="0"/>
        <v>0.62770562770562766</v>
      </c>
      <c r="N12" s="7">
        <f t="shared" si="1"/>
        <v>0.41991341991341985</v>
      </c>
      <c r="O12" s="7">
        <f t="shared" si="73"/>
        <v>0.66896551724137931</v>
      </c>
      <c r="P12" s="7">
        <f t="shared" si="68"/>
        <v>0.79999999999999993</v>
      </c>
      <c r="Q12" s="7">
        <f t="shared" si="43"/>
        <v>0.57027752909579221</v>
      </c>
      <c r="R12" s="7">
        <f t="shared" si="44"/>
        <v>0.74037600716204111</v>
      </c>
      <c r="S12" s="1">
        <v>14.5</v>
      </c>
      <c r="T12" s="71">
        <f t="shared" si="45"/>
        <v>16.095000000000002</v>
      </c>
      <c r="U12" s="4">
        <f t="shared" si="74"/>
        <v>4.1428571428571432</v>
      </c>
      <c r="V12" s="4">
        <f t="shared" si="4"/>
        <v>4.3543543543543546</v>
      </c>
      <c r="W12" s="5">
        <v>1.18</v>
      </c>
      <c r="X12" s="1">
        <v>80</v>
      </c>
      <c r="Y12" s="1">
        <v>450</v>
      </c>
      <c r="Z12" s="1">
        <v>9.6999999999999993</v>
      </c>
      <c r="AA12" s="5">
        <f t="shared" si="46"/>
        <v>10.766999999999999</v>
      </c>
      <c r="AB12" s="1">
        <v>30</v>
      </c>
      <c r="AC12" s="1">
        <v>135</v>
      </c>
      <c r="AD12" s="21">
        <v>11.6</v>
      </c>
      <c r="AE12" s="4">
        <f t="shared" si="47"/>
        <v>12.876000000000001</v>
      </c>
      <c r="AF12" s="21">
        <v>80</v>
      </c>
      <c r="AG12" s="21">
        <v>225</v>
      </c>
      <c r="AH12" s="1">
        <v>33.020000000000003</v>
      </c>
      <c r="AI12" s="1" t="s">
        <v>82</v>
      </c>
      <c r="AJ12" s="1">
        <v>66</v>
      </c>
      <c r="AK12" s="1">
        <v>80</v>
      </c>
      <c r="AL12" s="1">
        <v>91</v>
      </c>
      <c r="AM12" s="1">
        <v>104</v>
      </c>
      <c r="AN12" s="34">
        <f t="shared" si="48"/>
        <v>109.2</v>
      </c>
      <c r="AO12" s="18">
        <v>3.3</v>
      </c>
      <c r="AP12" s="18">
        <v>14.4</v>
      </c>
      <c r="AQ12" s="17">
        <f t="shared" si="5"/>
        <v>0.99310344827586206</v>
      </c>
      <c r="AR12" s="33">
        <f t="shared" si="6"/>
        <v>0.89468779123951525</v>
      </c>
      <c r="AS12" s="18">
        <f t="shared" si="7"/>
        <v>4.1142857142857148</v>
      </c>
      <c r="AT12" s="18">
        <f t="shared" si="8"/>
        <v>4.3636363636363642</v>
      </c>
      <c r="AU12" s="19">
        <v>0.9</v>
      </c>
      <c r="AV12" s="16">
        <v>12.2</v>
      </c>
      <c r="AW12" s="16">
        <v>12.9</v>
      </c>
      <c r="AX12" s="18">
        <f t="shared" si="49"/>
        <v>12.55</v>
      </c>
      <c r="AY12" s="18">
        <f t="shared" si="9"/>
        <v>3.6969696969696968</v>
      </c>
      <c r="AZ12" s="18">
        <f t="shared" si="10"/>
        <v>3.8738738738738738</v>
      </c>
      <c r="BA12" s="18">
        <f t="shared" si="50"/>
        <v>3.7854217854217853</v>
      </c>
      <c r="BB12" s="17">
        <f t="shared" si="11"/>
        <v>0.8896551724137931</v>
      </c>
      <c r="BC12" s="17">
        <f t="shared" si="12"/>
        <v>0.86551724137931041</v>
      </c>
      <c r="BD12" s="33">
        <f t="shared" si="13"/>
        <v>0.7797452625038831</v>
      </c>
      <c r="BE12" s="16">
        <v>11.3</v>
      </c>
      <c r="BF12" s="18" t="s">
        <v>39</v>
      </c>
      <c r="BG12" s="17">
        <f t="shared" si="14"/>
        <v>0.71351835273052822</v>
      </c>
      <c r="BH12" s="33">
        <f t="shared" si="15"/>
        <v>0.77931034482758621</v>
      </c>
      <c r="BI12" s="33">
        <f t="shared" si="16"/>
        <v>0.70208139173656414</v>
      </c>
      <c r="BJ12" s="33">
        <f t="shared" si="51"/>
        <v>1.1649484536082475</v>
      </c>
      <c r="BK12" s="33">
        <f t="shared" si="52"/>
        <v>1.0495031113587816</v>
      </c>
      <c r="BL12" s="33">
        <f t="shared" si="53"/>
        <v>0.97413793103448287</v>
      </c>
      <c r="BM12" s="33">
        <f t="shared" si="54"/>
        <v>0.87760173967070521</v>
      </c>
      <c r="BN12" s="18">
        <f t="shared" si="17"/>
        <v>3.2285714285714286</v>
      </c>
      <c r="BO12" s="18">
        <f t="shared" si="18"/>
        <v>3.3933933933933935</v>
      </c>
      <c r="BP12" s="16">
        <v>0.97</v>
      </c>
      <c r="BQ12" s="16">
        <v>11.3</v>
      </c>
      <c r="BR12" s="16">
        <v>11.7</v>
      </c>
      <c r="BT12" s="16">
        <v>10.4</v>
      </c>
      <c r="BU12" s="16">
        <v>12.9</v>
      </c>
      <c r="BV12" s="103">
        <f t="shared" si="19"/>
        <v>0.8896551724137931</v>
      </c>
      <c r="BW12" s="16">
        <v>10.6</v>
      </c>
      <c r="BX12" s="16">
        <v>12.4</v>
      </c>
      <c r="CA12" s="18">
        <f t="shared" si="71"/>
        <v>11.5</v>
      </c>
      <c r="CB12" s="17">
        <f t="shared" si="55"/>
        <v>0.7931034482758621</v>
      </c>
      <c r="CC12" s="17">
        <f t="shared" si="56"/>
        <v>0.71450761105933513</v>
      </c>
      <c r="CD12" s="18">
        <f>AVERAGE(BU12,BS12,BZ12,BT12)</f>
        <v>11.65</v>
      </c>
      <c r="CE12" s="109">
        <f t="shared" si="57"/>
        <v>11.574999999999999</v>
      </c>
      <c r="CF12" s="17">
        <f t="shared" si="58"/>
        <v>0.80344827586206902</v>
      </c>
      <c r="CG12" s="17">
        <f t="shared" si="59"/>
        <v>0.72382727555141335</v>
      </c>
      <c r="CH12" s="18">
        <f t="shared" si="20"/>
        <v>6.1644027648337989</v>
      </c>
      <c r="CI12" s="18">
        <f>AVERAGE(11.4,10.6,9.9,10.9)</f>
        <v>10.7</v>
      </c>
      <c r="CJ12" s="17">
        <f t="shared" si="60"/>
        <v>0.73793103448275854</v>
      </c>
      <c r="CK12" s="17">
        <f t="shared" si="61"/>
        <v>0.66480273376825083</v>
      </c>
      <c r="CL12" s="16">
        <v>7.1</v>
      </c>
      <c r="CM12" s="17">
        <f t="shared" si="62"/>
        <v>0.48965517241379308</v>
      </c>
      <c r="CN12" s="17">
        <f t="shared" si="63"/>
        <v>0.44113078595837207</v>
      </c>
      <c r="CO12" s="16">
        <v>56</v>
      </c>
      <c r="CP12" s="16">
        <v>101</v>
      </c>
      <c r="CQ12" s="17">
        <f t="shared" si="21"/>
        <v>0.97115384615384615</v>
      </c>
      <c r="CR12" s="16" t="s">
        <v>38</v>
      </c>
      <c r="CS12" s="16">
        <v>83</v>
      </c>
      <c r="CT12" s="16">
        <v>91</v>
      </c>
      <c r="CU12" s="20">
        <f t="shared" si="64"/>
        <v>87</v>
      </c>
      <c r="CV12" s="17">
        <f t="shared" si="22"/>
        <v>0.875</v>
      </c>
      <c r="CW12" s="17">
        <f t="shared" si="23"/>
        <v>0.83653846153846156</v>
      </c>
      <c r="CX12" s="17">
        <f t="shared" si="24"/>
        <v>0.79670329670329665</v>
      </c>
      <c r="CY12" s="16">
        <v>91</v>
      </c>
      <c r="CZ12" s="17">
        <f t="shared" si="25"/>
        <v>0.875</v>
      </c>
      <c r="DA12" s="17">
        <f t="shared" si="65"/>
        <v>0.83333333333333326</v>
      </c>
      <c r="DB12" s="16">
        <v>89</v>
      </c>
      <c r="DC12" s="16">
        <v>91</v>
      </c>
      <c r="DG12" s="16">
        <v>84</v>
      </c>
      <c r="DH12" s="16">
        <v>92</v>
      </c>
      <c r="DI12" s="103">
        <f t="shared" si="26"/>
        <v>0.88461538461538458</v>
      </c>
      <c r="DJ12" s="16">
        <v>86</v>
      </c>
      <c r="DK12" s="16">
        <v>90</v>
      </c>
      <c r="DL12" s="20">
        <f t="shared" si="72"/>
        <v>89</v>
      </c>
      <c r="DM12" s="20">
        <f>AVERAGE(DE12,DF12:DH12,DG12)</f>
        <v>86.666666666666671</v>
      </c>
      <c r="DN12" s="20">
        <f t="shared" si="66"/>
        <v>87.833333333333343</v>
      </c>
      <c r="DO12" s="20">
        <f>AVERAGE(91,92,88,91)</f>
        <v>90.5</v>
      </c>
      <c r="DP12" s="17">
        <f t="shared" si="27"/>
        <v>0.85576923076923073</v>
      </c>
      <c r="DQ12" s="17">
        <f t="shared" si="28"/>
        <v>0.81501831501831501</v>
      </c>
      <c r="DR12" s="17">
        <f t="shared" si="29"/>
        <v>0.83333333333333337</v>
      </c>
      <c r="DS12" s="17">
        <f t="shared" si="30"/>
        <v>0.79365079365079372</v>
      </c>
      <c r="DT12" s="17">
        <f t="shared" si="31"/>
        <v>0.87019230769230771</v>
      </c>
      <c r="DU12" s="17">
        <f t="shared" si="32"/>
        <v>0.8287545787545787</v>
      </c>
      <c r="DV12" s="16">
        <v>86</v>
      </c>
      <c r="DW12" s="17">
        <f t="shared" si="33"/>
        <v>0.82692307692307687</v>
      </c>
      <c r="DX12" s="17">
        <f t="shared" si="34"/>
        <v>0.78754578754578752</v>
      </c>
      <c r="DY12" s="57">
        <f t="shared" si="67"/>
        <v>3.3933933933933935</v>
      </c>
      <c r="DZ12" s="57">
        <f t="shared" si="35"/>
        <v>3.5135135135135132</v>
      </c>
      <c r="EA12" s="57"/>
      <c r="EB12" s="57">
        <f>BT12/K12</f>
        <v>3.1231231231231233</v>
      </c>
      <c r="EC12" s="57">
        <f t="shared" si="36"/>
        <v>3.8738738738738738</v>
      </c>
      <c r="ED12" s="57">
        <f t="shared" si="70"/>
        <v>3.1831831831831829</v>
      </c>
      <c r="EE12" s="57">
        <f t="shared" si="37"/>
        <v>3.7237237237237237</v>
      </c>
      <c r="EH12" s="57">
        <f t="shared" si="38"/>
        <v>3.4534534534534536</v>
      </c>
      <c r="EI12" s="57">
        <f t="shared" si="39"/>
        <v>3.4984984984984986</v>
      </c>
      <c r="EJ12" s="57">
        <f t="shared" si="40"/>
        <v>3.213213213213213</v>
      </c>
      <c r="EK12" s="57">
        <f t="shared" si="41"/>
        <v>2.1321321321321318</v>
      </c>
      <c r="HF12" s="16">
        <v>13</v>
      </c>
      <c r="HG12" s="16">
        <v>13</v>
      </c>
      <c r="HH12" s="16">
        <v>13</v>
      </c>
      <c r="HI12" s="16">
        <v>0</v>
      </c>
      <c r="HJ12" s="16">
        <v>-2</v>
      </c>
      <c r="HK12" s="16">
        <v>0</v>
      </c>
      <c r="HL12" s="16">
        <v>-2</v>
      </c>
      <c r="HR12" s="58"/>
      <c r="HS12" s="53">
        <v>2735</v>
      </c>
      <c r="HT12" s="23">
        <v>21</v>
      </c>
      <c r="HU12">
        <v>2.2999999999999998</v>
      </c>
      <c r="HV12">
        <v>0.74</v>
      </c>
      <c r="HW12">
        <v>31.4</v>
      </c>
      <c r="HX12" s="94">
        <f>HW12*H12</f>
        <v>3714.62</v>
      </c>
      <c r="ID12" s="94">
        <f>IC12*N12</f>
        <v>0</v>
      </c>
    </row>
    <row r="13" spans="1:238" x14ac:dyDescent="0.35">
      <c r="A13">
        <v>12</v>
      </c>
      <c r="B13" t="s">
        <v>156</v>
      </c>
      <c r="C13" t="s">
        <v>240</v>
      </c>
      <c r="D13" t="s">
        <v>233</v>
      </c>
      <c r="E13" t="s">
        <v>43</v>
      </c>
      <c r="F13">
        <v>74</v>
      </c>
      <c r="G13">
        <v>1.72</v>
      </c>
      <c r="H13" s="23">
        <v>109</v>
      </c>
      <c r="I13" s="23">
        <f t="shared" si="42"/>
        <v>36.844240129799893</v>
      </c>
      <c r="J13" s="23">
        <v>3.75</v>
      </c>
      <c r="K13" s="23">
        <v>2.7</v>
      </c>
      <c r="L13" s="23">
        <v>18.5</v>
      </c>
      <c r="M13" s="7">
        <f t="shared" si="0"/>
        <v>0.61621621621621625</v>
      </c>
      <c r="N13" s="7">
        <f t="shared" si="1"/>
        <v>0.41081081081081078</v>
      </c>
      <c r="O13" s="7">
        <f t="shared" si="73"/>
        <v>0.66666666666666663</v>
      </c>
      <c r="P13" s="70" t="s">
        <v>75</v>
      </c>
      <c r="Q13" s="7">
        <f t="shared" si="43"/>
        <v>0.56321839080459768</v>
      </c>
      <c r="R13" s="7" t="s">
        <v>75</v>
      </c>
      <c r="S13" s="1">
        <v>11.4</v>
      </c>
      <c r="T13" s="71">
        <f t="shared" si="45"/>
        <v>12.654000000000002</v>
      </c>
      <c r="U13" s="4">
        <f t="shared" si="74"/>
        <v>3.2571428571428571</v>
      </c>
      <c r="V13" s="4">
        <f t="shared" si="4"/>
        <v>4.2222222222222223</v>
      </c>
      <c r="W13" s="62">
        <v>0.99</v>
      </c>
      <c r="X13" s="1">
        <v>60</v>
      </c>
      <c r="Y13" s="1">
        <v>360</v>
      </c>
      <c r="Z13" s="1">
        <v>7.6</v>
      </c>
      <c r="AA13" s="5">
        <f t="shared" si="46"/>
        <v>8.4359999999999999</v>
      </c>
      <c r="AB13" s="1">
        <v>10</v>
      </c>
      <c r="AC13" s="1">
        <v>100</v>
      </c>
      <c r="AD13" s="21" t="s">
        <v>96</v>
      </c>
      <c r="AE13" s="4" t="s">
        <v>75</v>
      </c>
      <c r="AF13" s="21" t="s">
        <v>96</v>
      </c>
      <c r="AG13" s="21" t="s">
        <v>96</v>
      </c>
      <c r="AH13" s="1">
        <v>31.73</v>
      </c>
      <c r="AI13" s="1" t="s">
        <v>234</v>
      </c>
      <c r="AJ13" s="1">
        <v>58</v>
      </c>
      <c r="AK13" s="1">
        <v>78</v>
      </c>
      <c r="AL13" s="21" t="s">
        <v>96</v>
      </c>
      <c r="AM13" s="1">
        <v>81</v>
      </c>
      <c r="AN13" s="34">
        <f t="shared" si="48"/>
        <v>85.05</v>
      </c>
      <c r="AO13" s="18">
        <v>2.7</v>
      </c>
      <c r="AP13" s="18">
        <v>16.399999999999999</v>
      </c>
      <c r="AQ13" s="17">
        <f t="shared" si="5"/>
        <v>1.43859649122807</v>
      </c>
      <c r="AR13" s="33">
        <f t="shared" si="6"/>
        <v>1.2960328749802432</v>
      </c>
      <c r="AS13" s="18">
        <f t="shared" si="7"/>
        <v>4.6857142857142851</v>
      </c>
      <c r="AT13" s="18">
        <f t="shared" si="8"/>
        <v>6.0740740740740735</v>
      </c>
      <c r="AU13" s="19">
        <v>0.84</v>
      </c>
      <c r="AV13" s="16">
        <v>9.1</v>
      </c>
      <c r="AW13" s="16">
        <v>11.8</v>
      </c>
      <c r="AX13" s="18">
        <f t="shared" si="49"/>
        <v>10.45</v>
      </c>
      <c r="AY13" s="18">
        <f t="shared" si="9"/>
        <v>3.3703703703703702</v>
      </c>
      <c r="AZ13" s="18">
        <f t="shared" si="10"/>
        <v>4.3703703703703702</v>
      </c>
      <c r="BA13" s="18">
        <f t="shared" si="50"/>
        <v>3.8703703703703702</v>
      </c>
      <c r="BB13" s="17">
        <f t="shared" si="11"/>
        <v>1.0350877192982457</v>
      </c>
      <c r="BC13" s="17">
        <f t="shared" si="12"/>
        <v>0.91666666666666663</v>
      </c>
      <c r="BD13" s="33">
        <f t="shared" si="13"/>
        <v>0.82582582582582564</v>
      </c>
      <c r="BE13" s="16">
        <v>12.1</v>
      </c>
      <c r="BF13" s="18" t="s">
        <v>270</v>
      </c>
      <c r="BG13" s="17">
        <f t="shared" si="14"/>
        <v>1.0804597701149425</v>
      </c>
      <c r="BH13" s="33">
        <f t="shared" si="15"/>
        <v>1.0614035087719298</v>
      </c>
      <c r="BI13" s="33">
        <f t="shared" si="16"/>
        <v>0.95621937727200867</v>
      </c>
      <c r="BJ13" s="33">
        <f t="shared" si="51"/>
        <v>1.5921052631578947</v>
      </c>
      <c r="BK13" s="33">
        <f t="shared" si="52"/>
        <v>1.4343290659080132</v>
      </c>
      <c r="BL13" s="33" t="s">
        <v>75</v>
      </c>
      <c r="BM13" s="33" t="s">
        <v>75</v>
      </c>
      <c r="BN13" s="18">
        <f t="shared" si="17"/>
        <v>3.4571428571428569</v>
      </c>
      <c r="BO13" s="18">
        <f t="shared" si="18"/>
        <v>4.481481481481481</v>
      </c>
      <c r="BP13" s="16">
        <v>0.87</v>
      </c>
      <c r="BQ13" s="18">
        <v>13</v>
      </c>
      <c r="BR13" s="18">
        <v>14</v>
      </c>
      <c r="BS13" s="16">
        <v>15.1</v>
      </c>
      <c r="BU13" s="16">
        <v>12.4</v>
      </c>
      <c r="BV13" s="103">
        <f t="shared" si="19"/>
        <v>1.0877192982456141</v>
      </c>
      <c r="BW13" s="16">
        <v>10.7</v>
      </c>
      <c r="BX13" s="16">
        <v>12.8</v>
      </c>
      <c r="CA13" s="18">
        <f t="shared" si="71"/>
        <v>12.625</v>
      </c>
      <c r="CB13" s="17">
        <f t="shared" si="55"/>
        <v>1.1074561403508771</v>
      </c>
      <c r="CC13" s="17">
        <f t="shared" si="56"/>
        <v>0.99770823455033963</v>
      </c>
      <c r="CD13" s="18">
        <f>AVERAGE(BU13,BS13,BZ13,BT13)</f>
        <v>13.75</v>
      </c>
      <c r="CE13" s="109">
        <f t="shared" si="57"/>
        <v>13.1875</v>
      </c>
      <c r="CF13" s="17">
        <f t="shared" si="58"/>
        <v>1.2061403508771928</v>
      </c>
      <c r="CG13" s="17">
        <f t="shared" si="59"/>
        <v>1.0866129287181918</v>
      </c>
      <c r="CH13" s="18">
        <f t="shared" si="20"/>
        <v>7.1200410937253036</v>
      </c>
      <c r="CI13" s="18">
        <f>AVERAGE(9.6,12.2, 12.1, 10)</f>
        <v>10.975</v>
      </c>
      <c r="CJ13" s="17">
        <f t="shared" si="60"/>
        <v>0.96271929824561397</v>
      </c>
      <c r="CK13" s="17">
        <f t="shared" si="61"/>
        <v>0.8673146831041566</v>
      </c>
      <c r="CL13" s="16">
        <v>11.7</v>
      </c>
      <c r="CM13" s="17">
        <f t="shared" si="62"/>
        <v>1.0263157894736841</v>
      </c>
      <c r="CN13" s="17">
        <f t="shared" si="63"/>
        <v>0.9246088193456613</v>
      </c>
      <c r="CO13" s="16">
        <v>60</v>
      </c>
      <c r="CP13" s="16">
        <v>107</v>
      </c>
      <c r="CQ13" s="17">
        <f t="shared" si="21"/>
        <v>1.3209876543209877</v>
      </c>
      <c r="CR13" s="16" t="s">
        <v>38</v>
      </c>
      <c r="CS13" s="16">
        <v>74</v>
      </c>
      <c r="CT13" s="16">
        <v>83</v>
      </c>
      <c r="CU13" s="20">
        <f t="shared" si="64"/>
        <v>78.5</v>
      </c>
      <c r="CV13" s="17">
        <f>CT13/AM16</f>
        <v>0.75454545454545452</v>
      </c>
      <c r="CW13" s="17">
        <f>AVERAGE(CS13:CT13)/AM16</f>
        <v>0.71363636363636362</v>
      </c>
      <c r="CX13" s="17">
        <f t="shared" si="24"/>
        <v>0.92298647854203408</v>
      </c>
      <c r="CY13" s="16">
        <v>81</v>
      </c>
      <c r="CZ13" s="17">
        <f t="shared" si="25"/>
        <v>1</v>
      </c>
      <c r="DA13" s="17">
        <f t="shared" si="65"/>
        <v>0.95238095238095244</v>
      </c>
      <c r="DB13" s="16">
        <v>89</v>
      </c>
      <c r="DF13" s="16">
        <v>84</v>
      </c>
      <c r="DH13" s="16">
        <v>91</v>
      </c>
      <c r="DI13" s="103">
        <f t="shared" si="26"/>
        <v>1.1234567901234569</v>
      </c>
      <c r="DJ13" s="16">
        <v>69</v>
      </c>
      <c r="DK13" s="16">
        <v>74</v>
      </c>
      <c r="DL13" s="20">
        <f t="shared" si="72"/>
        <v>77.333333333333329</v>
      </c>
      <c r="DM13" s="20">
        <f>AVERAGE(DE13,DF13:DH13,DG13)</f>
        <v>87.5</v>
      </c>
      <c r="DN13" s="20">
        <f t="shared" si="66"/>
        <v>82.416666666666657</v>
      </c>
      <c r="DO13" s="20">
        <f>AVERAGE(74,82,89,72,84)</f>
        <v>80.2</v>
      </c>
      <c r="DP13" s="17">
        <f t="shared" si="27"/>
        <v>0.95473251028806583</v>
      </c>
      <c r="DQ13" s="17">
        <f t="shared" si="28"/>
        <v>0.90926905741720554</v>
      </c>
      <c r="DR13" s="17">
        <f t="shared" si="29"/>
        <v>1.0802469135802468</v>
      </c>
      <c r="DS13" s="17">
        <f t="shared" si="30"/>
        <v>1.0288065843621399</v>
      </c>
      <c r="DT13" s="17">
        <f t="shared" si="31"/>
        <v>0.99012345679012348</v>
      </c>
      <c r="DU13" s="17">
        <f t="shared" si="32"/>
        <v>0.94297472075249855</v>
      </c>
      <c r="DV13" s="16">
        <v>75</v>
      </c>
      <c r="DW13" s="17">
        <f t="shared" si="33"/>
        <v>0.92592592592592593</v>
      </c>
      <c r="DX13" s="17">
        <f t="shared" si="34"/>
        <v>0.88183421516754856</v>
      </c>
      <c r="DY13" s="57">
        <f t="shared" si="67"/>
        <v>4.8148148148148149</v>
      </c>
      <c r="DZ13" s="57">
        <f t="shared" si="35"/>
        <v>5.1851851851851851</v>
      </c>
      <c r="EA13" s="57">
        <f>BS13/K13</f>
        <v>5.5925925925925917</v>
      </c>
      <c r="EB13" s="57"/>
      <c r="EC13" s="57">
        <f t="shared" si="36"/>
        <v>4.5925925925925926</v>
      </c>
      <c r="ED13" s="57">
        <f t="shared" si="70"/>
        <v>3.9629629629629624</v>
      </c>
      <c r="EE13" s="57">
        <f t="shared" si="37"/>
        <v>4.7407407407407405</v>
      </c>
      <c r="EH13" s="57">
        <f t="shared" si="38"/>
        <v>4.6759259259259256</v>
      </c>
      <c r="EI13" s="57">
        <f t="shared" si="39"/>
        <v>5.0925925925925926</v>
      </c>
      <c r="EJ13" s="57">
        <f t="shared" si="40"/>
        <v>4.064814814814814</v>
      </c>
      <c r="EK13" s="57">
        <f t="shared" si="41"/>
        <v>4.333333333333333</v>
      </c>
      <c r="HF13" s="16">
        <v>11</v>
      </c>
      <c r="HG13" s="16">
        <v>15</v>
      </c>
      <c r="HH13" s="16">
        <f>AVERAGE(13,13,15,13,11,11,15)</f>
        <v>13</v>
      </c>
      <c r="HI13" s="16">
        <v>0</v>
      </c>
      <c r="HJ13" s="16">
        <v>-2</v>
      </c>
      <c r="HK13" s="16">
        <v>2</v>
      </c>
      <c r="HL13" s="20">
        <v>1</v>
      </c>
      <c r="HR13" s="58"/>
      <c r="HS13" s="53"/>
      <c r="HT13" s="23"/>
      <c r="HX13" s="94" t="s">
        <v>75</v>
      </c>
      <c r="ID13" s="94" t="s">
        <v>75</v>
      </c>
    </row>
    <row r="14" spans="1:238" x14ac:dyDescent="0.35">
      <c r="A14">
        <v>13</v>
      </c>
      <c r="B14" t="s">
        <v>155</v>
      </c>
      <c r="C14" t="s">
        <v>240</v>
      </c>
      <c r="D14" t="s">
        <v>282</v>
      </c>
      <c r="E14" t="s">
        <v>43</v>
      </c>
      <c r="F14">
        <v>82</v>
      </c>
      <c r="G14">
        <v>1.65</v>
      </c>
      <c r="H14" s="23">
        <v>94.1</v>
      </c>
      <c r="I14" s="23">
        <f t="shared" si="42"/>
        <v>34.563820018365476</v>
      </c>
      <c r="J14" s="23">
        <v>3.2</v>
      </c>
      <c r="K14" s="23">
        <v>2.57</v>
      </c>
      <c r="L14" s="23">
        <v>12.9</v>
      </c>
      <c r="M14" s="7">
        <f t="shared" si="0"/>
        <v>1.2093023255813953</v>
      </c>
      <c r="N14" s="7">
        <f t="shared" si="1"/>
        <v>0.87596899224806202</v>
      </c>
      <c r="O14" s="7">
        <f t="shared" si="73"/>
        <v>0.72435897435897445</v>
      </c>
      <c r="P14" s="7">
        <f t="shared" si="68"/>
        <v>0.80769230769230771</v>
      </c>
      <c r="Q14" s="7">
        <f t="shared" si="43"/>
        <v>0.66999232540291642</v>
      </c>
      <c r="R14" s="7">
        <f t="shared" si="44"/>
        <v>0.76976208749040675</v>
      </c>
      <c r="S14" s="1">
        <v>15.6</v>
      </c>
      <c r="T14" s="71">
        <f t="shared" si="45"/>
        <v>17.316000000000003</v>
      </c>
      <c r="U14" s="4">
        <f t="shared" si="74"/>
        <v>4.4571428571428573</v>
      </c>
      <c r="V14" s="4">
        <f t="shared" si="4"/>
        <v>6.0700389105058372</v>
      </c>
      <c r="W14" s="5">
        <v>1.05</v>
      </c>
      <c r="X14" s="1">
        <v>70</v>
      </c>
      <c r="Y14" s="1">
        <v>420</v>
      </c>
      <c r="Z14" s="1">
        <v>11.3</v>
      </c>
      <c r="AA14" s="5">
        <f t="shared" si="46"/>
        <v>12.543000000000001</v>
      </c>
      <c r="AB14" s="1">
        <v>20</v>
      </c>
      <c r="AC14" s="1">
        <v>110</v>
      </c>
      <c r="AD14" s="21">
        <v>12.6</v>
      </c>
      <c r="AE14" s="4">
        <f t="shared" si="47"/>
        <v>13.986000000000001</v>
      </c>
      <c r="AF14" s="21">
        <v>50</v>
      </c>
      <c r="AG14" s="21">
        <v>300</v>
      </c>
      <c r="AH14" s="1">
        <v>33.270000000000003</v>
      </c>
      <c r="AJ14" s="1">
        <v>86</v>
      </c>
      <c r="AK14" s="1">
        <v>103</v>
      </c>
      <c r="AL14" s="1">
        <v>109</v>
      </c>
      <c r="AM14" s="1">
        <v>111</v>
      </c>
      <c r="AN14" s="34">
        <f t="shared" si="48"/>
        <v>116.55000000000001</v>
      </c>
      <c r="AO14" s="16">
        <v>2.6</v>
      </c>
      <c r="AP14" s="18">
        <v>18</v>
      </c>
      <c r="AQ14" s="17">
        <f t="shared" si="5"/>
        <v>1.153846153846154</v>
      </c>
      <c r="AR14" s="33">
        <f t="shared" si="6"/>
        <v>1.0395010395010393</v>
      </c>
      <c r="AS14" s="18">
        <f t="shared" si="7"/>
        <v>5.1428571428571432</v>
      </c>
      <c r="AT14" s="18">
        <f t="shared" si="8"/>
        <v>6.9230769230769225</v>
      </c>
      <c r="AU14" s="19">
        <v>0.8</v>
      </c>
      <c r="AV14" s="16">
        <v>12.5</v>
      </c>
      <c r="AW14" s="16">
        <v>14.5</v>
      </c>
      <c r="AX14" s="18">
        <f t="shared" si="49"/>
        <v>13.5</v>
      </c>
      <c r="AY14" s="18">
        <f t="shared" si="9"/>
        <v>4.8076923076923075</v>
      </c>
      <c r="AZ14" s="18">
        <f t="shared" si="10"/>
        <v>5.6420233463035023</v>
      </c>
      <c r="BA14" s="18">
        <f>AVERAGE(AY14:AZ14)</f>
        <v>5.2248578269979049</v>
      </c>
      <c r="BB14" s="17">
        <f t="shared" si="11"/>
        <v>0.92948717948717952</v>
      </c>
      <c r="BC14" s="17">
        <f t="shared" si="12"/>
        <v>0.86538461538461542</v>
      </c>
      <c r="BD14" s="33">
        <f t="shared" si="13"/>
        <v>0.7796257796257795</v>
      </c>
      <c r="BE14" s="16">
        <v>14.7</v>
      </c>
      <c r="BF14" s="18" t="s">
        <v>38</v>
      </c>
      <c r="BG14" s="17">
        <f t="shared" si="14"/>
        <v>0.93092862624712203</v>
      </c>
      <c r="BH14" s="33">
        <f t="shared" si="15"/>
        <v>0.94230769230769229</v>
      </c>
      <c r="BI14" s="33">
        <f t="shared" si="16"/>
        <v>0.84892584892584877</v>
      </c>
      <c r="BJ14" s="33">
        <f t="shared" si="51"/>
        <v>1.3008849557522122</v>
      </c>
      <c r="BK14" s="33">
        <f t="shared" si="52"/>
        <v>1.1719684286055967</v>
      </c>
      <c r="BL14" s="33">
        <f t="shared" si="53"/>
        <v>1.1666666666666667</v>
      </c>
      <c r="BM14" s="33">
        <f t="shared" si="54"/>
        <v>1.0510510510510509</v>
      </c>
      <c r="BN14" s="18">
        <f t="shared" si="17"/>
        <v>4.2</v>
      </c>
      <c r="BO14" s="18">
        <f t="shared" si="18"/>
        <v>5.7198443579766538</v>
      </c>
      <c r="BP14" s="16">
        <v>0.86</v>
      </c>
      <c r="BQ14" s="16">
        <v>15.2</v>
      </c>
      <c r="BR14" s="16">
        <v>15.4</v>
      </c>
      <c r="BU14" s="16">
        <v>16.100000000000001</v>
      </c>
      <c r="BV14" s="103">
        <f t="shared" si="19"/>
        <v>1.0320512820512822</v>
      </c>
      <c r="BW14" s="16">
        <v>12.6</v>
      </c>
      <c r="BX14" s="16">
        <v>11.4</v>
      </c>
      <c r="CA14" s="18">
        <f t="shared" si="71"/>
        <v>13.65</v>
      </c>
      <c r="CB14" s="17">
        <f t="shared" si="55"/>
        <v>0.875</v>
      </c>
      <c r="CC14" s="17">
        <f t="shared" si="56"/>
        <v>0.78828828828828823</v>
      </c>
      <c r="CD14" s="18">
        <f>AVERAGE(BU14,BS14,BZ14,BT14)</f>
        <v>16.100000000000001</v>
      </c>
      <c r="CE14" s="109">
        <f t="shared" si="57"/>
        <v>14.875</v>
      </c>
      <c r="CF14" s="17">
        <f t="shared" si="58"/>
        <v>1.0320512820512822</v>
      </c>
      <c r="CG14" s="17">
        <f t="shared" si="59"/>
        <v>0.92977592977592971</v>
      </c>
      <c r="CH14" s="18">
        <f t="shared" si="20"/>
        <v>7.8533220720720731</v>
      </c>
      <c r="CI14" s="18">
        <f>AVERAGE(14.6, 17.1, 14.5, 15.4)</f>
        <v>15.4</v>
      </c>
      <c r="CJ14" s="17">
        <f t="shared" si="60"/>
        <v>0.98717948717948723</v>
      </c>
      <c r="CK14" s="17">
        <f t="shared" si="61"/>
        <v>0.88935088935088924</v>
      </c>
      <c r="CL14" s="16">
        <v>10.9</v>
      </c>
      <c r="CM14" s="17">
        <f t="shared" si="62"/>
        <v>0.69871794871794879</v>
      </c>
      <c r="CN14" s="17">
        <f t="shared" si="63"/>
        <v>0.62947562947562941</v>
      </c>
      <c r="CO14" s="16">
        <v>79</v>
      </c>
      <c r="CP14" s="16">
        <v>117</v>
      </c>
      <c r="CQ14" s="17">
        <f t="shared" si="21"/>
        <v>1.0540540540540539</v>
      </c>
      <c r="CR14" s="16" t="s">
        <v>38</v>
      </c>
      <c r="CS14" s="16">
        <v>101</v>
      </c>
      <c r="CT14" s="16">
        <v>106</v>
      </c>
      <c r="CU14" s="20">
        <f t="shared" si="64"/>
        <v>103.5</v>
      </c>
      <c r="CV14" s="17">
        <f>CT14/AM14</f>
        <v>0.95495495495495497</v>
      </c>
      <c r="CW14" s="17">
        <f>AVERAGE(CS14:CT14)/AM14</f>
        <v>0.93243243243243246</v>
      </c>
      <c r="CX14" s="17">
        <f t="shared" si="24"/>
        <v>0.88803088803088792</v>
      </c>
      <c r="CY14" s="16">
        <v>108</v>
      </c>
      <c r="CZ14" s="17">
        <f t="shared" si="25"/>
        <v>0.97297297297297303</v>
      </c>
      <c r="DA14" s="17">
        <f t="shared" si="65"/>
        <v>0.92664092664092657</v>
      </c>
      <c r="DB14" s="16">
        <v>110</v>
      </c>
      <c r="DC14" s="16">
        <v>112</v>
      </c>
      <c r="DH14" s="16">
        <v>109</v>
      </c>
      <c r="DI14" s="103">
        <f t="shared" si="26"/>
        <v>0.98198198198198194</v>
      </c>
      <c r="DJ14" s="16">
        <v>105</v>
      </c>
      <c r="DK14" s="16">
        <v>103</v>
      </c>
      <c r="DL14" s="20">
        <f t="shared" si="72"/>
        <v>107.5</v>
      </c>
      <c r="DM14" s="20">
        <f>AVERAGE(DE14,DF14:DH14,DG14)</f>
        <v>109</v>
      </c>
      <c r="DN14" s="20">
        <f t="shared" si="66"/>
        <v>108.25</v>
      </c>
      <c r="DO14" s="20">
        <f>AVERAGE(108, 109, 107, 112)</f>
        <v>109</v>
      </c>
      <c r="DP14" s="17">
        <f t="shared" si="27"/>
        <v>0.96846846846846846</v>
      </c>
      <c r="DQ14" s="17">
        <f t="shared" si="28"/>
        <v>0.92235092235092231</v>
      </c>
      <c r="DR14" s="17">
        <f t="shared" si="29"/>
        <v>0.98198198198198194</v>
      </c>
      <c r="DS14" s="17">
        <f t="shared" si="30"/>
        <v>0.93522093522093508</v>
      </c>
      <c r="DT14" s="17">
        <f t="shared" si="31"/>
        <v>0.98198198198198194</v>
      </c>
      <c r="DU14" s="17">
        <f t="shared" si="32"/>
        <v>0.93522093522093508</v>
      </c>
      <c r="DV14" s="16">
        <v>109</v>
      </c>
      <c r="DW14" s="17">
        <f t="shared" si="33"/>
        <v>0.98198198198198194</v>
      </c>
      <c r="DX14" s="17">
        <f t="shared" si="34"/>
        <v>0.93522093522093508</v>
      </c>
      <c r="DY14" s="57">
        <f t="shared" si="67"/>
        <v>5.9143968871595334</v>
      </c>
      <c r="DZ14" s="57">
        <f t="shared" si="35"/>
        <v>5.9922178988326857</v>
      </c>
      <c r="EA14" s="57"/>
      <c r="EB14" s="57" t="s">
        <v>75</v>
      </c>
      <c r="EC14" s="57">
        <f t="shared" si="36"/>
        <v>6.2645914396887168</v>
      </c>
      <c r="ED14" s="57">
        <f t="shared" si="70"/>
        <v>4.9027237354085607</v>
      </c>
      <c r="EE14" s="57">
        <f t="shared" si="37"/>
        <v>4.43579766536965</v>
      </c>
      <c r="EH14" s="57">
        <f t="shared" si="38"/>
        <v>5.3112840466926077</v>
      </c>
      <c r="EI14" s="57">
        <f t="shared" si="39"/>
        <v>6.2645914396887168</v>
      </c>
      <c r="EJ14" s="57">
        <f t="shared" si="40"/>
        <v>5.9922178988326857</v>
      </c>
      <c r="EK14" s="57">
        <f t="shared" si="41"/>
        <v>4.2412451361867705</v>
      </c>
      <c r="EL14" s="12">
        <v>93.7</v>
      </c>
      <c r="EM14" s="13">
        <f>EL14-H14</f>
        <v>-0.39999999999999147</v>
      </c>
      <c r="EN14" s="12">
        <v>2.7</v>
      </c>
      <c r="EO14" s="12">
        <v>2.6</v>
      </c>
      <c r="EP14" s="12">
        <v>12.5</v>
      </c>
      <c r="EQ14" s="14">
        <f>(EP14-S14)/S14*100</f>
        <v>-19.871794871794872</v>
      </c>
      <c r="ER14" s="44">
        <f>EP14/L14</f>
        <v>0.96899224806201545</v>
      </c>
      <c r="ES14" s="14">
        <f>EP14/3.5</f>
        <v>3.5714285714285716</v>
      </c>
      <c r="ET14" s="14">
        <f>EP14/EO14</f>
        <v>4.8076923076923075</v>
      </c>
      <c r="EU14" s="12">
        <v>1.32</v>
      </c>
      <c r="EV14" s="12">
        <v>80</v>
      </c>
      <c r="EW14" s="12">
        <f>EV14-X14</f>
        <v>10</v>
      </c>
      <c r="EX14" s="12">
        <v>480</v>
      </c>
      <c r="EY14" s="12">
        <f>EX14-Y14</f>
        <v>60</v>
      </c>
      <c r="EZ14" s="12">
        <v>9.6</v>
      </c>
      <c r="FA14" s="12">
        <f>EZ14-Z14</f>
        <v>-1.7000000000000011</v>
      </c>
      <c r="FB14" s="12">
        <v>40</v>
      </c>
      <c r="FC14" s="12">
        <v>10</v>
      </c>
      <c r="FD14" s="12">
        <v>250</v>
      </c>
      <c r="FE14" s="12">
        <f>FD14-AC14</f>
        <v>140</v>
      </c>
      <c r="FJ14" s="12">
        <v>32.6</v>
      </c>
      <c r="FK14" s="12">
        <f>FJ14-AH14</f>
        <v>-0.67000000000000171</v>
      </c>
      <c r="FL14" s="12">
        <v>88</v>
      </c>
      <c r="FM14" s="12">
        <v>104</v>
      </c>
      <c r="FO14" s="12">
        <v>126</v>
      </c>
      <c r="FP14" s="25">
        <v>2.6</v>
      </c>
      <c r="FQ14" s="25">
        <v>17.7</v>
      </c>
      <c r="FR14" s="26">
        <f>FQ14/EP14</f>
        <v>1.4159999999999999</v>
      </c>
      <c r="FS14" s="27">
        <f>FQ14/3.5</f>
        <v>5.0571428571428569</v>
      </c>
      <c r="FT14" s="27">
        <f>FQ14/FP14</f>
        <v>6.8076923076923075</v>
      </c>
      <c r="FU14" s="25">
        <v>0.93</v>
      </c>
      <c r="FV14" s="25">
        <v>11.2</v>
      </c>
      <c r="FW14" s="25">
        <v>11.3</v>
      </c>
      <c r="FX14" s="25">
        <v>14.7</v>
      </c>
      <c r="FY14" s="26">
        <f>FX14/EP14</f>
        <v>1.1759999999999999</v>
      </c>
      <c r="FZ14" s="27">
        <f>FX14/3.5</f>
        <v>4.2</v>
      </c>
      <c r="GA14" s="27">
        <f>FX14/FP14</f>
        <v>5.6538461538461533</v>
      </c>
      <c r="GB14" s="25">
        <v>0.94</v>
      </c>
      <c r="GC14" s="25">
        <f>AVERAGE(16.1,15.3)</f>
        <v>15.700000000000001</v>
      </c>
      <c r="GD14" s="25">
        <v>16.600000000000001</v>
      </c>
      <c r="GF14" s="25">
        <v>16.5</v>
      </c>
      <c r="GG14" s="25">
        <f>AVERAGE(14.2,13.6)</f>
        <v>13.899999999999999</v>
      </c>
      <c r="GJ14" s="27">
        <f>AVERAGE(GI14,GF14,GD14,GC14)</f>
        <v>16.266666666666669</v>
      </c>
      <c r="GK14" s="25">
        <f>AVERAGE(GG14,GE14)</f>
        <v>13.899999999999999</v>
      </c>
      <c r="GL14" s="27">
        <f>AVERAGE(13.2,17.5,13.3,12.8)</f>
        <v>14.2</v>
      </c>
      <c r="GM14" s="25">
        <v>7.8</v>
      </c>
      <c r="GN14" s="25">
        <v>91</v>
      </c>
      <c r="GO14" s="25">
        <v>130</v>
      </c>
      <c r="GP14" s="26">
        <f>GO14/FO14</f>
        <v>1.0317460317460319</v>
      </c>
      <c r="GQ14" s="25" t="s">
        <v>39</v>
      </c>
      <c r="GR14" s="25">
        <v>112</v>
      </c>
      <c r="GS14" s="25">
        <v>112</v>
      </c>
      <c r="GT14" s="25">
        <v>121</v>
      </c>
      <c r="GU14" s="29">
        <f>AVERAGE(123,124)</f>
        <v>123.5</v>
      </c>
      <c r="GV14" s="25">
        <v>120</v>
      </c>
      <c r="GY14" s="25">
        <f>AVERAGE(127,123)</f>
        <v>125</v>
      </c>
      <c r="GZ14" s="25">
        <v>116</v>
      </c>
      <c r="HB14" s="29">
        <f>AVERAGE(GU14:GW14,GY14,HA14)</f>
        <v>122.83333333333333</v>
      </c>
      <c r="HC14" s="29">
        <f>AVERAGE(GX14,GZ14)</f>
        <v>116</v>
      </c>
      <c r="HD14" s="29">
        <f>AVERAGE(118,126,121,116)</f>
        <v>120.25</v>
      </c>
      <c r="HE14" s="25">
        <v>107</v>
      </c>
      <c r="HF14" s="16">
        <v>11</v>
      </c>
      <c r="HG14" s="16">
        <v>17</v>
      </c>
      <c r="HH14" s="20">
        <f>AVERAGE(13,11,11,13,15,13,15,17,13,15)</f>
        <v>13.6</v>
      </c>
      <c r="HI14" s="20">
        <v>5</v>
      </c>
      <c r="HJ14" s="16">
        <v>3</v>
      </c>
      <c r="HK14" s="16">
        <v>4</v>
      </c>
      <c r="HL14" s="16">
        <v>4</v>
      </c>
      <c r="HM14" s="51">
        <v>11</v>
      </c>
      <c r="HN14" s="51">
        <v>17</v>
      </c>
      <c r="HO14" s="58">
        <f>AVERAGE(13,11,11,13,15,13,15,17,13,15)</f>
        <v>13.6</v>
      </c>
      <c r="HP14" s="51">
        <v>3</v>
      </c>
      <c r="HQ14" s="51">
        <v>4</v>
      </c>
      <c r="HR14" s="58">
        <f>AVERAGE(4,4,4,4,4,4,4,4,3,3)</f>
        <v>3.8</v>
      </c>
      <c r="HS14" s="53">
        <v>3187</v>
      </c>
      <c r="HT14" s="23">
        <v>21.5</v>
      </c>
      <c r="HU14">
        <v>1.8</v>
      </c>
      <c r="HV14">
        <v>0.71</v>
      </c>
      <c r="HW14">
        <v>31.5</v>
      </c>
      <c r="HX14" s="94">
        <f>HW14*H14</f>
        <v>2964.1499999999996</v>
      </c>
      <c r="HY14">
        <v>2400</v>
      </c>
      <c r="HZ14">
        <v>21.8</v>
      </c>
      <c r="IA14">
        <v>1.5</v>
      </c>
      <c r="IB14">
        <v>0.59</v>
      </c>
      <c r="IC14">
        <v>30.9</v>
      </c>
      <c r="ID14" s="94">
        <f>IC14*EL14</f>
        <v>2895.33</v>
      </c>
    </row>
    <row r="15" spans="1:238" x14ac:dyDescent="0.35">
      <c r="A15">
        <v>14</v>
      </c>
      <c r="B15" t="s">
        <v>155</v>
      </c>
      <c r="C15" t="s">
        <v>239</v>
      </c>
      <c r="D15" t="s">
        <v>236</v>
      </c>
      <c r="E15" t="s">
        <v>43</v>
      </c>
      <c r="F15">
        <v>75</v>
      </c>
      <c r="G15">
        <v>1.82</v>
      </c>
      <c r="H15" s="23">
        <v>82.2</v>
      </c>
      <c r="I15" s="23">
        <f t="shared" si="42"/>
        <v>24.815843497162177</v>
      </c>
      <c r="J15" s="23">
        <v>4.9000000000000004</v>
      </c>
      <c r="K15" s="87">
        <v>3.5</v>
      </c>
      <c r="L15" s="23">
        <v>27.8</v>
      </c>
      <c r="M15" s="7">
        <f t="shared" si="0"/>
        <v>0.70863309352517978</v>
      </c>
      <c r="N15" s="7">
        <f t="shared" si="1"/>
        <v>0.5</v>
      </c>
      <c r="O15" s="7">
        <f t="shared" si="73"/>
        <v>0.70558375634517767</v>
      </c>
      <c r="P15" s="7">
        <f t="shared" si="68"/>
        <v>0.83248730964466999</v>
      </c>
      <c r="Q15" s="7">
        <f t="shared" si="43"/>
        <v>0.64197530864197538</v>
      </c>
      <c r="R15" s="7">
        <f t="shared" si="44"/>
        <v>0.79629629629629628</v>
      </c>
      <c r="S15" s="1">
        <v>19.7</v>
      </c>
      <c r="T15" s="71">
        <f t="shared" si="45"/>
        <v>21.867000000000001</v>
      </c>
      <c r="U15" s="4">
        <f t="shared" si="74"/>
        <v>5.6285714285714281</v>
      </c>
      <c r="V15" s="4">
        <f t="shared" si="4"/>
        <v>5.6285714285714281</v>
      </c>
      <c r="W15" s="62">
        <v>0.99</v>
      </c>
      <c r="X15" s="1">
        <v>90</v>
      </c>
      <c r="Y15" s="1">
        <v>540</v>
      </c>
      <c r="Z15" s="1">
        <v>13.9</v>
      </c>
      <c r="AA15" s="5">
        <f t="shared" si="46"/>
        <v>15.429000000000002</v>
      </c>
      <c r="AB15" s="1">
        <v>20</v>
      </c>
      <c r="AC15" s="1">
        <v>95</v>
      </c>
      <c r="AD15" s="21">
        <v>16.399999999999999</v>
      </c>
      <c r="AE15" s="4">
        <f t="shared" si="47"/>
        <v>18.204000000000001</v>
      </c>
      <c r="AF15" s="21" t="s">
        <v>237</v>
      </c>
      <c r="AG15" s="21">
        <v>390</v>
      </c>
      <c r="AH15" s="1">
        <v>28.35</v>
      </c>
      <c r="AI15" s="1" t="s">
        <v>236</v>
      </c>
      <c r="AJ15" s="1">
        <v>75</v>
      </c>
      <c r="AK15" s="1">
        <v>95</v>
      </c>
      <c r="AL15" s="1">
        <v>143</v>
      </c>
      <c r="AM15" s="1">
        <v>152</v>
      </c>
      <c r="AN15" s="34">
        <f t="shared" si="48"/>
        <v>159.6</v>
      </c>
      <c r="AO15" s="16">
        <v>3.5</v>
      </c>
      <c r="AP15" s="16">
        <v>21.5</v>
      </c>
      <c r="AQ15" s="17">
        <f t="shared" si="5"/>
        <v>1.0913705583756346</v>
      </c>
      <c r="AR15" s="33">
        <f t="shared" si="6"/>
        <v>0.98321671925732834</v>
      </c>
      <c r="AS15" s="18">
        <f t="shared" si="7"/>
        <v>6.1428571428571432</v>
      </c>
      <c r="AT15" s="18">
        <f t="shared" si="8"/>
        <v>6.1428571428571432</v>
      </c>
      <c r="AU15" s="19">
        <v>0.7</v>
      </c>
      <c r="AV15" s="16">
        <v>17.5</v>
      </c>
      <c r="AW15" s="16">
        <v>18.100000000000001</v>
      </c>
      <c r="AX15" s="18">
        <f t="shared" si="49"/>
        <v>17.8</v>
      </c>
      <c r="AY15" s="18">
        <f t="shared" si="9"/>
        <v>5</v>
      </c>
      <c r="AZ15" s="18">
        <f t="shared" si="10"/>
        <v>5.1714285714285717</v>
      </c>
      <c r="BA15" s="18">
        <f>AVERAGE(AY15:AZ15)</f>
        <v>5.0857142857142854</v>
      </c>
      <c r="BB15" s="17">
        <f t="shared" si="11"/>
        <v>0.91878172588832496</v>
      </c>
      <c r="BC15" s="17">
        <f t="shared" si="12"/>
        <v>0.90355329949238583</v>
      </c>
      <c r="BD15" s="33">
        <f t="shared" si="13"/>
        <v>0.81401198152467191</v>
      </c>
      <c r="BE15" s="16">
        <v>15.8</v>
      </c>
      <c r="BF15" s="16" t="s">
        <v>39</v>
      </c>
      <c r="BG15" s="17">
        <f t="shared" si="14"/>
        <v>0.7592592592592593</v>
      </c>
      <c r="BH15" s="33">
        <f t="shared" si="15"/>
        <v>0.80203045685279195</v>
      </c>
      <c r="BI15" s="33">
        <f t="shared" si="16"/>
        <v>0.72254996112864134</v>
      </c>
      <c r="BJ15" s="33">
        <f t="shared" si="51"/>
        <v>1.1366906474820144</v>
      </c>
      <c r="BK15" s="33">
        <f t="shared" si="52"/>
        <v>1.0240456283621751</v>
      </c>
      <c r="BL15" s="33">
        <f t="shared" si="53"/>
        <v>0.96341463414634154</v>
      </c>
      <c r="BM15" s="33">
        <f t="shared" si="54"/>
        <v>0.86794111184355083</v>
      </c>
      <c r="BN15" s="18">
        <f t="shared" si="17"/>
        <v>4.5142857142857142</v>
      </c>
      <c r="BO15" s="18">
        <f t="shared" si="18"/>
        <v>4.5142857142857142</v>
      </c>
      <c r="BP15" s="16">
        <v>0.83</v>
      </c>
      <c r="BQ15" s="16">
        <f>AVERAGE(15.7,13.7)</f>
        <v>14.7</v>
      </c>
      <c r="BR15" s="18">
        <v>19</v>
      </c>
      <c r="BS15" s="16">
        <v>13.7</v>
      </c>
      <c r="BU15" s="16">
        <v>13.4</v>
      </c>
      <c r="BV15" s="103">
        <f t="shared" si="19"/>
        <v>0.68020304568527923</v>
      </c>
      <c r="BW15" s="16">
        <v>16.899999999999999</v>
      </c>
      <c r="BX15" s="16">
        <v>15.7</v>
      </c>
      <c r="BY15" s="16">
        <v>16.899999999999999</v>
      </c>
      <c r="CA15" s="18">
        <f t="shared" si="71"/>
        <v>16.639999999999997</v>
      </c>
      <c r="CB15" s="17">
        <f t="shared" si="55"/>
        <v>0.84467005076142121</v>
      </c>
      <c r="CC15" s="17">
        <f t="shared" si="56"/>
        <v>0.76096400969497402</v>
      </c>
      <c r="CD15" s="18">
        <f>AVERAGE(BU15,BS15,BZ15,BT15)</f>
        <v>13.55</v>
      </c>
      <c r="CE15" s="109">
        <f t="shared" si="57"/>
        <v>15.094999999999999</v>
      </c>
      <c r="CF15" s="17">
        <f t="shared" si="58"/>
        <v>0.68781725888324874</v>
      </c>
      <c r="CG15" s="17">
        <f t="shared" si="59"/>
        <v>0.61965518818310694</v>
      </c>
      <c r="CH15" s="18">
        <f t="shared" si="20"/>
        <v>7.9489085151140983</v>
      </c>
      <c r="CI15" s="18">
        <f>AVERAGE(17,14.5)</f>
        <v>15.75</v>
      </c>
      <c r="CJ15" s="17">
        <f t="shared" si="60"/>
        <v>0.79949238578680204</v>
      </c>
      <c r="CK15" s="17">
        <f t="shared" si="61"/>
        <v>0.72026341061874055</v>
      </c>
      <c r="CL15" s="16">
        <v>10.7</v>
      </c>
      <c r="CM15" s="17">
        <f t="shared" si="62"/>
        <v>0.54314720812182737</v>
      </c>
      <c r="CN15" s="17">
        <f t="shared" si="63"/>
        <v>0.48932180911876338</v>
      </c>
      <c r="CO15" s="16">
        <v>72</v>
      </c>
      <c r="CP15" s="16">
        <v>147</v>
      </c>
      <c r="CQ15" s="17">
        <f t="shared" si="21"/>
        <v>0.96710526315789469</v>
      </c>
      <c r="CR15" s="16" t="s">
        <v>38</v>
      </c>
      <c r="CS15" s="16">
        <v>117</v>
      </c>
      <c r="CT15" s="16">
        <v>130</v>
      </c>
      <c r="CU15" s="20">
        <f t="shared" si="64"/>
        <v>123.5</v>
      </c>
      <c r="CV15" s="17">
        <f>CT15/AM15</f>
        <v>0.85526315789473684</v>
      </c>
      <c r="CW15" s="17">
        <f>AVERAGE(CS15:CT15)/AM15</f>
        <v>0.8125</v>
      </c>
      <c r="CX15" s="17">
        <f t="shared" si="24"/>
        <v>0.77380952380952384</v>
      </c>
      <c r="CY15" s="16">
        <v>120</v>
      </c>
      <c r="CZ15" s="17">
        <f t="shared" si="25"/>
        <v>0.78947368421052633</v>
      </c>
      <c r="DA15" s="17">
        <f t="shared" si="65"/>
        <v>0.75187969924812037</v>
      </c>
      <c r="DB15" s="16">
        <f>AVERAGE(127,93)</f>
        <v>110</v>
      </c>
      <c r="DC15" s="16">
        <v>131</v>
      </c>
      <c r="DD15" s="16">
        <v>131</v>
      </c>
      <c r="DF15" s="16">
        <v>107</v>
      </c>
      <c r="DH15" s="16">
        <v>90</v>
      </c>
      <c r="DI15" s="103">
        <f t="shared" si="26"/>
        <v>0.59210526315789469</v>
      </c>
      <c r="DJ15" s="16">
        <v>131</v>
      </c>
      <c r="DK15" s="16">
        <v>128</v>
      </c>
      <c r="DL15" s="20">
        <f t="shared" si="72"/>
        <v>126.2</v>
      </c>
      <c r="DM15" s="20">
        <f>AVERAGE(DE15,DF15:DH15,DG15)</f>
        <v>98.5</v>
      </c>
      <c r="DN15" s="20">
        <f t="shared" si="66"/>
        <v>112.35</v>
      </c>
      <c r="DO15" s="16">
        <f xml:space="preserve"> AVERAGE(137,121)</f>
        <v>129</v>
      </c>
      <c r="DP15" s="17">
        <f t="shared" si="27"/>
        <v>0.83026315789473681</v>
      </c>
      <c r="DQ15" s="17">
        <f t="shared" si="28"/>
        <v>0.79072681704260661</v>
      </c>
      <c r="DR15" s="17">
        <f t="shared" si="29"/>
        <v>0.64802631578947367</v>
      </c>
      <c r="DS15" s="17">
        <f t="shared" si="30"/>
        <v>0.61716791979949881</v>
      </c>
      <c r="DT15" s="17">
        <f t="shared" si="31"/>
        <v>0.84868421052631582</v>
      </c>
      <c r="DU15" s="17">
        <f t="shared" si="32"/>
        <v>0.80827067669172936</v>
      </c>
      <c r="DV15" s="16">
        <v>88</v>
      </c>
      <c r="DW15" s="17">
        <f t="shared" si="33"/>
        <v>0.57894736842105265</v>
      </c>
      <c r="DX15" s="17">
        <f t="shared" si="34"/>
        <v>0.55137844611528819</v>
      </c>
      <c r="DY15" s="56">
        <f t="shared" si="67"/>
        <v>4.2</v>
      </c>
      <c r="DZ15" s="57">
        <f t="shared" si="35"/>
        <v>5.4285714285714288</v>
      </c>
      <c r="EA15" s="57">
        <f>BS15/K15</f>
        <v>3.9142857142857141</v>
      </c>
      <c r="EB15" s="57"/>
      <c r="EC15" s="57">
        <f t="shared" si="36"/>
        <v>3.8285714285714287</v>
      </c>
      <c r="ED15" s="57">
        <f t="shared" si="70"/>
        <v>4.8285714285714283</v>
      </c>
      <c r="EE15" s="57">
        <f t="shared" si="37"/>
        <v>4.4857142857142858</v>
      </c>
      <c r="EF15" s="57">
        <f>BY15/K15</f>
        <v>4.8285714285714283</v>
      </c>
      <c r="EG15" s="57"/>
      <c r="EH15" s="57">
        <f t="shared" si="38"/>
        <v>4.7542857142857136</v>
      </c>
      <c r="EI15" s="57">
        <f t="shared" si="39"/>
        <v>3.8714285714285714</v>
      </c>
      <c r="EJ15" s="57">
        <f t="shared" si="40"/>
        <v>4.5</v>
      </c>
      <c r="EK15" s="57">
        <f t="shared" si="41"/>
        <v>3.0571428571428569</v>
      </c>
      <c r="HF15" s="16">
        <v>11</v>
      </c>
      <c r="HG15" s="16">
        <v>14</v>
      </c>
      <c r="HH15" s="16">
        <f>AVERAGE(11,11,13,11,13,11,14)</f>
        <v>12</v>
      </c>
      <c r="HI15" s="16">
        <v>5</v>
      </c>
      <c r="HJ15" s="16">
        <v>-1</v>
      </c>
      <c r="HK15" s="16">
        <v>4</v>
      </c>
      <c r="HL15" s="20">
        <f>AVERAGE(-1,4,3,3,4,4,-1)</f>
        <v>2.2857142857142856</v>
      </c>
      <c r="HR15" s="58"/>
      <c r="HS15" s="53">
        <v>3394</v>
      </c>
      <c r="HT15" s="23">
        <v>17.600000000000001</v>
      </c>
      <c r="HU15">
        <v>5.7</v>
      </c>
      <c r="HV15">
        <v>0.85</v>
      </c>
      <c r="HW15">
        <v>32.299999999999997</v>
      </c>
      <c r="HX15" s="94">
        <f>HW15*H15</f>
        <v>2655.06</v>
      </c>
      <c r="ID15" s="94">
        <f>IC15*N15</f>
        <v>0</v>
      </c>
    </row>
    <row r="16" spans="1:238" x14ac:dyDescent="0.35">
      <c r="A16">
        <v>15</v>
      </c>
      <c r="B16" t="s">
        <v>155</v>
      </c>
      <c r="C16" t="s">
        <v>247</v>
      </c>
      <c r="D16" t="s">
        <v>243</v>
      </c>
      <c r="E16" t="s">
        <v>43</v>
      </c>
      <c r="F16">
        <v>66</v>
      </c>
      <c r="G16">
        <v>1.8</v>
      </c>
      <c r="H16" s="23">
        <v>111</v>
      </c>
      <c r="I16" s="23">
        <f t="shared" si="42"/>
        <v>34.25925925925926</v>
      </c>
      <c r="J16" s="23">
        <v>4.82</v>
      </c>
      <c r="K16" s="89">
        <v>4.0999999999999996</v>
      </c>
      <c r="L16" s="23">
        <v>21.9</v>
      </c>
      <c r="M16" s="7">
        <f t="shared" si="0"/>
        <v>0.80365296803652975</v>
      </c>
      <c r="N16" s="7">
        <f t="shared" si="1"/>
        <v>0.40182648401826487</v>
      </c>
      <c r="O16" s="7">
        <f t="shared" si="73"/>
        <v>0.5</v>
      </c>
      <c r="P16" s="7">
        <f t="shared" si="68"/>
        <v>0.88068181818181812</v>
      </c>
      <c r="Q16" s="7">
        <f t="shared" si="43"/>
        <v>0.34814814814814821</v>
      </c>
      <c r="R16" s="7">
        <f t="shared" si="44"/>
        <v>0.84444444444444433</v>
      </c>
      <c r="S16" s="1">
        <v>17.600000000000001</v>
      </c>
      <c r="T16" s="71">
        <f t="shared" si="45"/>
        <v>19.536000000000005</v>
      </c>
      <c r="U16" s="4">
        <f>S16/3.5</f>
        <v>5.0285714285714294</v>
      </c>
      <c r="V16" s="4">
        <f t="shared" si="4"/>
        <v>4.2926829268292694</v>
      </c>
      <c r="W16" s="65">
        <v>1.02</v>
      </c>
      <c r="X16" s="1">
        <v>100</v>
      </c>
      <c r="Y16" s="1">
        <v>630</v>
      </c>
      <c r="Z16" s="1">
        <v>8.8000000000000007</v>
      </c>
      <c r="AA16" s="5">
        <f t="shared" si="46"/>
        <v>9.7680000000000025</v>
      </c>
      <c r="AB16" s="1">
        <v>20</v>
      </c>
      <c r="AC16" s="1">
        <v>90</v>
      </c>
      <c r="AD16" s="21">
        <v>15.5</v>
      </c>
      <c r="AE16" s="4">
        <f t="shared" si="47"/>
        <v>17.205000000000002</v>
      </c>
      <c r="AF16" s="21">
        <v>80</v>
      </c>
      <c r="AG16" s="21">
        <v>510</v>
      </c>
      <c r="AH16" s="1">
        <v>30.26</v>
      </c>
      <c r="AI16" s="1" t="s">
        <v>97</v>
      </c>
      <c r="AJ16" s="1">
        <v>68</v>
      </c>
      <c r="AK16" s="1">
        <v>72</v>
      </c>
      <c r="AL16" s="1">
        <v>99</v>
      </c>
      <c r="AM16" s="1">
        <v>110</v>
      </c>
      <c r="AN16" s="34">
        <f t="shared" si="48"/>
        <v>115.5</v>
      </c>
      <c r="AO16" s="90">
        <v>4.0999999999999996</v>
      </c>
      <c r="AP16" s="90">
        <v>18.3</v>
      </c>
      <c r="AQ16" s="91">
        <f t="shared" si="5"/>
        <v>1.0397727272727273</v>
      </c>
      <c r="AR16" s="91">
        <f t="shared" si="6"/>
        <v>0.9367321867321865</v>
      </c>
      <c r="AS16" s="92">
        <f t="shared" si="7"/>
        <v>5.2285714285714286</v>
      </c>
      <c r="AT16" s="92">
        <f t="shared" si="8"/>
        <v>4.4634146341463419</v>
      </c>
      <c r="AU16" s="90">
        <v>0.97</v>
      </c>
      <c r="AV16" s="90">
        <v>9.1</v>
      </c>
      <c r="AW16" s="90">
        <v>11.6</v>
      </c>
      <c r="AX16" s="18">
        <f t="shared" si="49"/>
        <v>10.35</v>
      </c>
      <c r="AY16" s="92">
        <f t="shared" si="9"/>
        <v>2.2195121951219514</v>
      </c>
      <c r="AZ16" s="92">
        <f t="shared" si="10"/>
        <v>2.8292682926829271</v>
      </c>
      <c r="BA16" s="92">
        <f>AVERAGE(AY16:AZ16)</f>
        <v>2.524390243902439</v>
      </c>
      <c r="BB16" s="91">
        <f t="shared" si="11"/>
        <v>0.65909090909090906</v>
      </c>
      <c r="BC16" s="91">
        <f t="shared" si="12"/>
        <v>0.58806818181818177</v>
      </c>
      <c r="BD16" s="91">
        <f t="shared" si="13"/>
        <v>0.52979115479115468</v>
      </c>
      <c r="BE16" s="90">
        <v>13.9</v>
      </c>
      <c r="BF16" s="90" t="s">
        <v>39</v>
      </c>
      <c r="BG16" s="91">
        <f t="shared" si="14"/>
        <v>0.72592592592592586</v>
      </c>
      <c r="BH16" s="33">
        <f t="shared" si="15"/>
        <v>0.78977272727272718</v>
      </c>
      <c r="BI16" s="91">
        <f t="shared" si="16"/>
        <v>0.71150696150696136</v>
      </c>
      <c r="BJ16" s="33">
        <f t="shared" si="51"/>
        <v>1.5795454545454544</v>
      </c>
      <c r="BK16" s="33">
        <f t="shared" si="52"/>
        <v>1.4230139230139227</v>
      </c>
      <c r="BL16" s="33">
        <f t="shared" si="53"/>
        <v>0.89677419354838717</v>
      </c>
      <c r="BM16" s="33">
        <f t="shared" si="54"/>
        <v>0.80790467887242079</v>
      </c>
      <c r="BN16" s="92">
        <f t="shared" si="17"/>
        <v>3.9714285714285715</v>
      </c>
      <c r="BO16" s="92">
        <f t="shared" si="18"/>
        <v>3.3902439024390247</v>
      </c>
      <c r="BP16" s="90">
        <v>0.9</v>
      </c>
      <c r="BQ16" s="90">
        <f>AVERAGE(14.1,15.3)</f>
        <v>14.7</v>
      </c>
      <c r="BR16" s="90">
        <v>17.600000000000001</v>
      </c>
      <c r="BS16" s="90">
        <v>15.4</v>
      </c>
      <c r="BT16" s="90"/>
      <c r="BU16" s="90">
        <v>12.6</v>
      </c>
      <c r="BV16" s="103">
        <f t="shared" si="19"/>
        <v>0.71590909090909083</v>
      </c>
      <c r="BW16" s="90"/>
      <c r="BX16" s="90"/>
      <c r="BY16" s="90"/>
      <c r="BZ16" s="90"/>
      <c r="CA16" s="18">
        <f t="shared" si="71"/>
        <v>16.149999999999999</v>
      </c>
      <c r="CB16" s="17">
        <f t="shared" si="55"/>
        <v>0.91761363636363624</v>
      </c>
      <c r="CC16" s="17">
        <f t="shared" si="56"/>
        <v>0.82667895167895145</v>
      </c>
      <c r="CD16" s="92">
        <f>AVERAGE(BU16,BS16,BZ16,BT16)</f>
        <v>14</v>
      </c>
      <c r="CE16" s="109">
        <f t="shared" si="57"/>
        <v>15.074999999999999</v>
      </c>
      <c r="CF16" s="17">
        <f t="shared" si="58"/>
        <v>0.79545454545454541</v>
      </c>
      <c r="CG16" s="17">
        <f t="shared" si="59"/>
        <v>0.71662571662571639</v>
      </c>
      <c r="CH16" s="18">
        <f t="shared" si="20"/>
        <v>7.9735731470106463</v>
      </c>
      <c r="CI16" s="92">
        <f>AVERAGE(16.2,11.9,12)</f>
        <v>13.366666666666667</v>
      </c>
      <c r="CJ16" s="17">
        <f t="shared" si="60"/>
        <v>0.75946969696969691</v>
      </c>
      <c r="CK16" s="17">
        <f t="shared" si="61"/>
        <v>0.68420693420693401</v>
      </c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57">
        <f t="shared" si="67"/>
        <v>3.5853658536585367</v>
      </c>
      <c r="DZ16" s="57">
        <f t="shared" si="35"/>
        <v>4.2926829268292694</v>
      </c>
      <c r="EA16" s="57"/>
      <c r="EB16" s="57"/>
      <c r="EC16" s="57">
        <f t="shared" si="36"/>
        <v>3.0731707317073171</v>
      </c>
      <c r="EI16" s="57">
        <f t="shared" si="39"/>
        <v>3.4146341463414638</v>
      </c>
      <c r="HF16" s="16">
        <v>9</v>
      </c>
      <c r="HG16" s="16">
        <v>14</v>
      </c>
      <c r="HH16" s="16">
        <v>13</v>
      </c>
      <c r="HI16" s="16">
        <v>5</v>
      </c>
      <c r="HJ16" s="16">
        <v>-2</v>
      </c>
      <c r="HK16" s="16">
        <v>5</v>
      </c>
      <c r="HL16" s="20">
        <f>AVERAGE(5,4,4,0,-2,4)</f>
        <v>2.5</v>
      </c>
      <c r="HR16" s="58"/>
      <c r="HS16" s="53">
        <v>5612</v>
      </c>
      <c r="HT16" s="23">
        <v>21.6</v>
      </c>
      <c r="HU16">
        <v>1.3</v>
      </c>
      <c r="HV16" s="23">
        <v>1</v>
      </c>
      <c r="HW16">
        <v>32.4</v>
      </c>
      <c r="HX16" s="94">
        <f>HW16*H16</f>
        <v>3596.3999999999996</v>
      </c>
    </row>
    <row r="17" spans="1:232" x14ac:dyDescent="0.35">
      <c r="A17">
        <v>16</v>
      </c>
      <c r="H17" s="23"/>
      <c r="I17" s="23"/>
      <c r="J17" s="23"/>
      <c r="K17" s="87"/>
      <c r="L17" s="23"/>
      <c r="M17" s="7"/>
      <c r="N17" s="7"/>
      <c r="O17" s="7"/>
      <c r="P17" s="7"/>
      <c r="Q17" s="7"/>
      <c r="R17" s="7"/>
      <c r="T17" s="71"/>
      <c r="U17" s="4"/>
      <c r="V17" s="4"/>
      <c r="W17" s="62"/>
      <c r="AD17" s="21"/>
      <c r="AE17" s="21"/>
      <c r="AF17" s="21"/>
      <c r="AG17" s="21"/>
      <c r="AY17" s="18"/>
      <c r="AZ17" s="18"/>
      <c r="BA17" s="18"/>
      <c r="BB17" s="17"/>
      <c r="BC17" s="17"/>
      <c r="BD17" s="33"/>
      <c r="CA17" s="18" t="s">
        <v>297</v>
      </c>
      <c r="CB17" s="18"/>
      <c r="CC17" s="18"/>
      <c r="CD17" s="18"/>
      <c r="CE17" s="109" t="s">
        <v>299</v>
      </c>
      <c r="CF17" s="18"/>
      <c r="CG17" s="18"/>
      <c r="CH17" s="18"/>
      <c r="CI17" s="18"/>
      <c r="CJ17" s="18"/>
      <c r="CK17" s="18"/>
      <c r="CU17" s="16" t="s">
        <v>305</v>
      </c>
      <c r="CV17" s="16" t="s">
        <v>307</v>
      </c>
      <c r="CZ17" s="16" t="s">
        <v>309</v>
      </c>
      <c r="DM17" s="16" t="s">
        <v>302</v>
      </c>
      <c r="DO17" s="16" t="s">
        <v>301</v>
      </c>
      <c r="DV17" s="16" t="s">
        <v>303</v>
      </c>
      <c r="HR17" s="58"/>
      <c r="HS17" s="53"/>
    </row>
    <row r="18" spans="1:232" x14ac:dyDescent="0.35">
      <c r="A18">
        <v>17</v>
      </c>
      <c r="H18" s="23"/>
      <c r="I18" s="23"/>
      <c r="J18" s="23"/>
      <c r="K18" s="87"/>
      <c r="L18" s="23"/>
      <c r="M18" s="7"/>
      <c r="N18" s="7"/>
      <c r="O18" s="7"/>
      <c r="P18" s="7"/>
      <c r="Q18" s="7"/>
      <c r="R18" s="7"/>
      <c r="T18" s="71"/>
      <c r="U18" s="4"/>
      <c r="V18" s="4"/>
      <c r="W18" s="62"/>
      <c r="AD18" s="21"/>
      <c r="AE18" s="21"/>
      <c r="AF18" s="21"/>
      <c r="AG18" s="21"/>
      <c r="AP18" s="107">
        <f>TTEST(S2:S16,AP2:AP16,2,1)</f>
        <v>3.0748875977845785E-3</v>
      </c>
      <c r="AY18" s="18"/>
      <c r="AZ18" s="18"/>
      <c r="BA18" s="18"/>
      <c r="BB18" s="17"/>
      <c r="BC18" s="17"/>
      <c r="BD18" s="33"/>
      <c r="CA18" s="107">
        <f>TTEST(CA2:CA16,CD2:CD16,2,1)</f>
        <v>0.58006022797880097</v>
      </c>
      <c r="CB18" s="18"/>
      <c r="CC18" s="18"/>
      <c r="CD18" s="18"/>
      <c r="CE18" s="112">
        <f>TTEST(CE2:CE16,CI2:CI16,2,1)</f>
        <v>5.0517139693081359E-2</v>
      </c>
      <c r="CF18" s="18"/>
      <c r="CG18" s="18"/>
      <c r="CH18" s="18"/>
      <c r="CI18" s="18"/>
      <c r="CJ18" s="18"/>
      <c r="CK18" s="18"/>
      <c r="CP18" s="16">
        <f>TTEST(AM2:AM15,CP2:CP15,2,1)</f>
        <v>0.15249955484500824</v>
      </c>
      <c r="CU18" s="19">
        <f>TTEST(CU2:CU15,CY2:CY15,2,1)</f>
        <v>4.0548224533200946E-3</v>
      </c>
      <c r="CV18" s="19">
        <f>TTEST(CY2:CY15,DV2:DV15,2,1)</f>
        <v>1.0404331615492358E-2</v>
      </c>
      <c r="CW18" s="16" t="s">
        <v>308</v>
      </c>
      <c r="CZ18" s="16">
        <f>PEARSON(CZ2:CZ15,BH2:BH15)</f>
        <v>0.25796185406124672</v>
      </c>
      <c r="DM18" s="19">
        <f>TTEST(DL2:DL15,DM2:DM15,2,1)</f>
        <v>0.3956378890200738</v>
      </c>
      <c r="DO18" s="19">
        <f>TTEST(DN2:DN15,DO2:DO15,2,1)</f>
        <v>0.65816084603435565</v>
      </c>
      <c r="DV18" s="19">
        <f>TTEST(CU2:CU15,DV2:DV15,2,1)</f>
        <v>0.96763695284010953</v>
      </c>
      <c r="DW18" s="16" t="s">
        <v>306</v>
      </c>
      <c r="HR18" s="58"/>
      <c r="HS18" s="53"/>
    </row>
    <row r="19" spans="1:232" x14ac:dyDescent="0.35">
      <c r="A19">
        <v>18</v>
      </c>
      <c r="H19" s="23"/>
      <c r="I19" s="23"/>
      <c r="J19" s="23"/>
      <c r="K19" s="87"/>
      <c r="L19" s="23"/>
      <c r="M19" s="7"/>
      <c r="N19" s="7"/>
      <c r="O19" s="7"/>
      <c r="P19" s="7"/>
      <c r="Q19" s="7"/>
      <c r="R19" s="7"/>
      <c r="T19" s="71"/>
      <c r="U19" s="4"/>
      <c r="V19" s="4"/>
      <c r="W19" s="62"/>
      <c r="AD19" s="21"/>
      <c r="AE19" s="21"/>
      <c r="AF19" s="21"/>
      <c r="AG19" s="21"/>
      <c r="AY19" s="18"/>
      <c r="AZ19" s="18"/>
      <c r="BA19" s="18"/>
      <c r="BB19" s="17"/>
      <c r="BC19" s="17"/>
      <c r="BD19" s="33"/>
      <c r="CA19" s="18"/>
      <c r="CB19" s="18"/>
      <c r="CC19" s="18"/>
      <c r="CD19" s="18"/>
      <c r="CE19" s="109"/>
      <c r="CF19" s="18"/>
      <c r="CG19" s="18"/>
      <c r="CH19" s="18"/>
      <c r="CI19" s="18"/>
      <c r="CJ19" s="18"/>
      <c r="CK19" s="18"/>
      <c r="HR19" s="58"/>
      <c r="HS19" s="53"/>
    </row>
    <row r="20" spans="1:232" x14ac:dyDescent="0.35">
      <c r="A20">
        <v>19</v>
      </c>
      <c r="H20" s="23"/>
      <c r="I20" s="23"/>
      <c r="J20" s="23"/>
      <c r="K20" s="87"/>
      <c r="L20" s="23"/>
      <c r="M20" s="7"/>
      <c r="N20" s="7"/>
      <c r="O20" s="7"/>
      <c r="P20" s="7"/>
      <c r="Q20" s="7"/>
      <c r="R20" s="7"/>
      <c r="T20" s="71"/>
      <c r="U20" s="4"/>
      <c r="V20" s="4"/>
      <c r="W20" s="62"/>
      <c r="AD20" s="21"/>
      <c r="AE20" s="21"/>
      <c r="AF20" s="21"/>
      <c r="AG20" s="21"/>
      <c r="AY20" s="18"/>
      <c r="AZ20" s="18"/>
      <c r="BA20" s="18"/>
      <c r="BB20" s="17"/>
      <c r="BC20" s="17"/>
      <c r="BD20" s="33"/>
      <c r="CA20" s="18"/>
      <c r="CB20" s="18"/>
      <c r="CC20" s="18"/>
      <c r="CD20" s="18"/>
      <c r="CE20" s="109"/>
      <c r="CF20" s="18"/>
      <c r="CG20" s="18"/>
      <c r="CH20" s="18"/>
      <c r="CI20" s="18"/>
      <c r="CJ20" s="18"/>
      <c r="CK20" s="18"/>
      <c r="EC20" s="57"/>
      <c r="HR20" s="58"/>
      <c r="HS20" s="53"/>
    </row>
    <row r="21" spans="1:232" x14ac:dyDescent="0.35">
      <c r="A21">
        <v>20</v>
      </c>
      <c r="H21" s="23"/>
      <c r="I21" s="23"/>
      <c r="J21" s="23"/>
      <c r="K21" s="23"/>
      <c r="L21" s="23"/>
      <c r="M21" s="6"/>
      <c r="N21" s="6"/>
      <c r="O21" s="6"/>
      <c r="P21" s="6"/>
      <c r="Q21" s="6"/>
      <c r="R21" s="6"/>
      <c r="T21" s="71"/>
      <c r="U21" s="4"/>
      <c r="CA21" s="18"/>
      <c r="CB21" s="18"/>
      <c r="CC21" s="18"/>
      <c r="CD21" s="18"/>
      <c r="CE21" s="109"/>
      <c r="CF21" s="18"/>
      <c r="CG21" s="18"/>
      <c r="CH21" s="18"/>
      <c r="CI21" s="18"/>
      <c r="CJ21" s="18"/>
      <c r="CK21" s="18"/>
      <c r="EC21" s="57"/>
      <c r="HR21" s="58"/>
      <c r="HS21" s="53"/>
    </row>
    <row r="22" spans="1:232" x14ac:dyDescent="0.35">
      <c r="A22">
        <v>21</v>
      </c>
      <c r="H22" s="23"/>
      <c r="I22" s="23"/>
      <c r="J22" s="23"/>
      <c r="K22" s="23"/>
      <c r="L22" s="23"/>
      <c r="M22" s="6"/>
      <c r="N22" s="6"/>
      <c r="O22" s="6"/>
      <c r="P22" s="6"/>
      <c r="Q22" s="6"/>
      <c r="R22" s="6"/>
      <c r="T22" s="71"/>
      <c r="U22" s="4"/>
      <c r="CA22" s="18"/>
      <c r="CB22" s="18"/>
      <c r="CC22" s="18"/>
      <c r="CD22" s="18"/>
      <c r="CE22" s="109"/>
      <c r="CF22" s="18"/>
      <c r="CG22" s="18"/>
      <c r="CH22" s="18"/>
      <c r="CI22" s="18"/>
      <c r="CJ22" s="18"/>
      <c r="CK22" s="18"/>
      <c r="HR22" s="58"/>
      <c r="HS22" s="53"/>
    </row>
    <row r="23" spans="1:232" s="39" customFormat="1" x14ac:dyDescent="0.35">
      <c r="A23" s="35" t="s">
        <v>123</v>
      </c>
      <c r="B23" s="35"/>
      <c r="C23" s="35"/>
      <c r="D23" s="35"/>
      <c r="E23" s="35"/>
      <c r="F23" s="38">
        <f t="shared" ref="F23:P23" si="75">AVERAGE(F2:F22)</f>
        <v>67.86666666666666</v>
      </c>
      <c r="G23" s="96">
        <f t="shared" si="75"/>
        <v>1.7533333333333334</v>
      </c>
      <c r="H23" s="36">
        <f t="shared" si="75"/>
        <v>94.74</v>
      </c>
      <c r="I23" s="36">
        <f t="shared" si="75"/>
        <v>30.816076387581266</v>
      </c>
      <c r="J23" s="36">
        <f t="shared" si="75"/>
        <v>3.7266666666666661</v>
      </c>
      <c r="K23" s="36">
        <f t="shared" si="75"/>
        <v>3.0946666666666669</v>
      </c>
      <c r="L23" s="36">
        <f t="shared" si="75"/>
        <v>21.841999999999995</v>
      </c>
      <c r="M23" s="37">
        <f t="shared" si="75"/>
        <v>0.67079825531624404</v>
      </c>
      <c r="N23" s="37">
        <f t="shared" si="75"/>
        <v>0.44520520542428976</v>
      </c>
      <c r="O23" s="37">
        <f t="shared" si="75"/>
        <v>0.66716717957774485</v>
      </c>
      <c r="P23" s="37">
        <f t="shared" si="75"/>
        <v>0.84932963890939928</v>
      </c>
      <c r="Q23" s="37">
        <f t="shared" ref="Q23:R23" si="76">AVERAGE(Q2:Q22)</f>
        <v>0.56628787872600195</v>
      </c>
      <c r="R23" s="37">
        <f t="shared" si="76"/>
        <v>0.81022427942554731</v>
      </c>
      <c r="S23" s="72">
        <f t="shared" ref="S23:AH23" si="77">AVERAGE(S2:S22)</f>
        <v>14.016666666666664</v>
      </c>
      <c r="T23" s="73">
        <f t="shared" si="77"/>
        <v>15.5585</v>
      </c>
      <c r="U23" s="72">
        <f t="shared" si="77"/>
        <v>4.0047619047619047</v>
      </c>
      <c r="V23" s="72">
        <f t="shared" si="77"/>
        <v>4.5812293995400299</v>
      </c>
      <c r="W23" s="74">
        <f t="shared" si="77"/>
        <v>1.1526666666666665</v>
      </c>
      <c r="X23" s="75">
        <f t="shared" si="77"/>
        <v>85.333333333333329</v>
      </c>
      <c r="Y23" s="75">
        <f t="shared" si="77"/>
        <v>517.33333333333337</v>
      </c>
      <c r="Z23" s="72">
        <f t="shared" si="77"/>
        <v>9.3338790593505028</v>
      </c>
      <c r="AA23" s="72">
        <f>AVERAGE(AA2:AA22)</f>
        <v>10.360605755879059</v>
      </c>
      <c r="AB23" s="75">
        <f t="shared" si="77"/>
        <v>29.333333333333332</v>
      </c>
      <c r="AC23" s="75">
        <f t="shared" si="77"/>
        <v>174.66666666666666</v>
      </c>
      <c r="AD23" s="72">
        <f t="shared" si="77"/>
        <v>12.772499999999999</v>
      </c>
      <c r="AE23" s="72">
        <f>AVERAGE(AE2:AE22)</f>
        <v>14.177475000000003</v>
      </c>
      <c r="AF23" s="75">
        <f t="shared" si="77"/>
        <v>65.454545454545453</v>
      </c>
      <c r="AG23" s="75">
        <f t="shared" si="77"/>
        <v>373.75</v>
      </c>
      <c r="AH23" s="72">
        <f t="shared" si="77"/>
        <v>30.757999999999999</v>
      </c>
      <c r="AI23" s="75"/>
      <c r="AJ23" s="75">
        <f>AVERAGE(AJ2:AJ22)</f>
        <v>70.333333333333329</v>
      </c>
      <c r="AK23" s="75">
        <f>AVERAGE(AK2:AK22)</f>
        <v>88.533333333333331</v>
      </c>
      <c r="AL23" s="75">
        <f>AVERAGE(AL2:AL22)</f>
        <v>106.41666666666667</v>
      </c>
      <c r="AM23" s="75">
        <f>AVERAGE(AM2:AM22)</f>
        <v>114.93333333333334</v>
      </c>
      <c r="AN23" s="41">
        <f>AVERAGE(AN2:AN22)</f>
        <v>120.67999999999999</v>
      </c>
      <c r="AO23" s="77">
        <f t="shared" ref="AO23:AY23" si="78">AVERAGE(AO2:AO22)</f>
        <v>3.1333333333333333</v>
      </c>
      <c r="AP23" s="77">
        <f t="shared" si="78"/>
        <v>14.881442180474863</v>
      </c>
      <c r="AQ23" s="79">
        <f t="shared" si="78"/>
        <v>1.1536374115797239</v>
      </c>
      <c r="AR23" s="80">
        <f t="shared" si="78"/>
        <v>1.0393129834051567</v>
      </c>
      <c r="AS23" s="77">
        <f t="shared" si="78"/>
        <v>4.5352380952380962</v>
      </c>
      <c r="AT23" s="77">
        <f t="shared" si="78"/>
        <v>5.1556720180020568</v>
      </c>
      <c r="AU23" s="81">
        <f t="shared" si="78"/>
        <v>0.94600000000000006</v>
      </c>
      <c r="AV23" s="77">
        <f t="shared" si="78"/>
        <v>11.787333333333333</v>
      </c>
      <c r="AW23" s="77">
        <f t="shared" si="78"/>
        <v>12.703999999999999</v>
      </c>
      <c r="AX23" s="77">
        <f>AVERAGE(AX2:AX22)</f>
        <v>12.245666666666667</v>
      </c>
      <c r="AY23" s="77">
        <f t="shared" si="78"/>
        <v>3.8353261609692511</v>
      </c>
      <c r="AZ23" s="77">
        <f>AVERAGE(AZ2:AZ22)</f>
        <v>4.1811706086899019</v>
      </c>
      <c r="BA23" s="77">
        <f>AVERAGE(BA2:BA22)</f>
        <v>4.0082483848295771</v>
      </c>
      <c r="BB23" s="79">
        <f>AVERAGE(BB2:BB22)</f>
        <v>0.93417715929895762</v>
      </c>
      <c r="BC23" s="79">
        <f>AVERAGE(BC2:BC22)</f>
        <v>0.89991210649573061</v>
      </c>
      <c r="BD23" s="80">
        <f t="shared" ref="BD23:BN23" si="79">AVERAGE(BD2:BD22)</f>
        <v>0.81073162747363126</v>
      </c>
      <c r="BE23" s="77">
        <f t="shared" si="79"/>
        <v>11.97</v>
      </c>
      <c r="BF23" s="77"/>
      <c r="BG23" s="79">
        <f t="shared" si="79"/>
        <v>0.84304350401839379</v>
      </c>
      <c r="BH23" s="80">
        <f t="shared" si="79"/>
        <v>0.87335585273806626</v>
      </c>
      <c r="BI23" s="80">
        <f t="shared" si="79"/>
        <v>0.78680707453879817</v>
      </c>
      <c r="BJ23" s="80">
        <f>AVERAGE(BJ2:BJ22)</f>
        <v>1.3237315589869287</v>
      </c>
      <c r="BK23" s="80">
        <f>AVERAGE(BK2:BK22)</f>
        <v>1.1925509540422781</v>
      </c>
      <c r="BL23" s="80"/>
      <c r="BM23" s="80"/>
      <c r="BN23" s="77">
        <f t="shared" si="79"/>
        <v>3.42</v>
      </c>
      <c r="BO23" s="77">
        <f t="shared" ref="BO23:CQ23" si="80">AVERAGE(BO2:BO22)</f>
        <v>3.9195790814166291</v>
      </c>
      <c r="BP23" s="81">
        <f t="shared" si="80"/>
        <v>1.008</v>
      </c>
      <c r="BQ23" s="77">
        <f t="shared" si="80"/>
        <v>12.452857142857141</v>
      </c>
      <c r="BR23" s="77">
        <f t="shared" si="80"/>
        <v>13.289666666666665</v>
      </c>
      <c r="BS23" s="77">
        <f t="shared" si="80"/>
        <v>13.188636363636363</v>
      </c>
      <c r="BT23" s="77">
        <f t="shared" si="80"/>
        <v>7.8100000000000005</v>
      </c>
      <c r="BU23" s="77">
        <f t="shared" si="80"/>
        <v>11.741666666666667</v>
      </c>
      <c r="BV23" s="104">
        <f t="shared" si="80"/>
        <v>0.8641905970867827</v>
      </c>
      <c r="BW23" s="77">
        <f t="shared" si="80"/>
        <v>11.656153846153845</v>
      </c>
      <c r="BX23" s="77">
        <f t="shared" si="80"/>
        <v>11.605357142857143</v>
      </c>
      <c r="BY23" s="77">
        <f t="shared" si="80"/>
        <v>14.654999999999999</v>
      </c>
      <c r="BZ23" s="77">
        <f t="shared" si="80"/>
        <v>10.8</v>
      </c>
      <c r="CA23" s="77">
        <f t="shared" si="80"/>
        <v>11.60069647258201</v>
      </c>
      <c r="CB23" s="79">
        <f t="shared" ref="CB23:CC23" si="81">AVERAGE(CB2:CB22)</f>
        <v>0.89812739929906904</v>
      </c>
      <c r="CC23" s="79">
        <f t="shared" si="81"/>
        <v>0.80912378315231437</v>
      </c>
      <c r="CD23" s="77">
        <f t="shared" si="80"/>
        <v>12.124000000000002</v>
      </c>
      <c r="CE23" s="110"/>
      <c r="CF23" s="79">
        <f t="shared" si="80"/>
        <v>0.88651401469739866</v>
      </c>
      <c r="CG23" s="79">
        <f t="shared" si="80"/>
        <v>0.79866127450216073</v>
      </c>
      <c r="CH23" s="77">
        <f t="shared" si="80"/>
        <v>6.5416641845017347</v>
      </c>
      <c r="CI23" s="77">
        <f t="shared" si="80"/>
        <v>11.544000000000002</v>
      </c>
      <c r="CJ23" s="79">
        <f t="shared" ref="CJ23:CK23" si="82">AVERAGE(CJ2:CJ22)</f>
        <v>0.846121413421831</v>
      </c>
      <c r="CK23" s="79">
        <f t="shared" si="82"/>
        <v>0.7622715436232711</v>
      </c>
      <c r="CL23" s="77">
        <f t="shared" si="80"/>
        <v>7.9964285714285719</v>
      </c>
      <c r="CM23" s="79">
        <f t="shared" ref="CM23:CN23" si="83">AVERAGE(CM2:CM22)</f>
        <v>0.60776182045133875</v>
      </c>
      <c r="CN23" s="79">
        <f t="shared" si="83"/>
        <v>0.54753317157778258</v>
      </c>
      <c r="CO23" s="78">
        <f t="shared" si="80"/>
        <v>67.857142857142861</v>
      </c>
      <c r="CP23" s="78">
        <f t="shared" si="80"/>
        <v>112.743499970323</v>
      </c>
      <c r="CQ23" s="79">
        <f t="shared" si="80"/>
        <v>1.0673530034024432</v>
      </c>
      <c r="CR23" s="78"/>
      <c r="CS23" s="78">
        <f t="shared" ref="CS23:DB23" si="84">AVERAGE(CS2:CS22)</f>
        <v>93</v>
      </c>
      <c r="CT23" s="78">
        <f t="shared" si="84"/>
        <v>99</v>
      </c>
      <c r="CU23" s="78">
        <f t="shared" ref="CU23" si="85">AVERAGE(CU2:CU22)</f>
        <v>89.600270321496893</v>
      </c>
      <c r="CV23" s="79">
        <f>AVERAGE(CV2:CV22)</f>
        <v>0.79716840418745305</v>
      </c>
      <c r="CW23" s="79">
        <f>AVERAGE(CW2:CW22)</f>
        <v>0.82667600265501939</v>
      </c>
      <c r="CX23" s="79">
        <f>AVERAGE(CX2:CX22)</f>
        <v>0.80469139292537728</v>
      </c>
      <c r="CY23" s="78">
        <f t="shared" si="84"/>
        <v>103.35714285714286</v>
      </c>
      <c r="CZ23" s="79">
        <f>AVERAGE(CZ2:CZ22)</f>
        <v>0.86668079109381302</v>
      </c>
      <c r="DA23" s="79">
        <f>AVERAGE(DA2:DA22)</f>
        <v>0.86681972873101709</v>
      </c>
      <c r="DB23" s="78">
        <f t="shared" si="84"/>
        <v>100.79166666666667</v>
      </c>
      <c r="DC23" s="78">
        <f t="shared" ref="DC23:DQ23" si="86">AVERAGE(DC2:DC22)</f>
        <v>113.13636363636364</v>
      </c>
      <c r="DD23" s="78">
        <f t="shared" si="86"/>
        <v>119.25</v>
      </c>
      <c r="DE23" s="78">
        <f t="shared" si="86"/>
        <v>81</v>
      </c>
      <c r="DF23" s="78">
        <f t="shared" si="86"/>
        <v>109.5</v>
      </c>
      <c r="DG23" s="78">
        <f t="shared" si="86"/>
        <v>83</v>
      </c>
      <c r="DH23" s="78">
        <f t="shared" si="86"/>
        <v>102.78571428571429</v>
      </c>
      <c r="DI23" s="104">
        <f t="shared" si="86"/>
        <v>0.91274622691202667</v>
      </c>
      <c r="DJ23" s="78">
        <f t="shared" si="86"/>
        <v>103</v>
      </c>
      <c r="DK23" s="78">
        <f t="shared" si="86"/>
        <v>104.65384615384616</v>
      </c>
      <c r="DL23" s="78">
        <f t="shared" si="86"/>
        <v>104.33630952380952</v>
      </c>
      <c r="DM23" s="78">
        <f t="shared" si="86"/>
        <v>95.187486970379112</v>
      </c>
      <c r="DN23" s="78"/>
      <c r="DO23" s="78">
        <f t="shared" si="86"/>
        <v>97.062766278624537</v>
      </c>
      <c r="DP23" s="79">
        <f t="shared" si="86"/>
        <v>0.91719092177573303</v>
      </c>
      <c r="DQ23" s="79">
        <f t="shared" si="86"/>
        <v>0.87351516359593628</v>
      </c>
      <c r="DR23" s="79">
        <f t="shared" ref="DR23:DY23" si="87">AVERAGE(DR2:DR22)</f>
        <v>0.9039834683258875</v>
      </c>
      <c r="DS23" s="79">
        <f>AVERAGE(DS2:DS22)</f>
        <v>0.86093663650084518</v>
      </c>
      <c r="DT23" s="79">
        <f t="shared" si="87"/>
        <v>0.91357589353755786</v>
      </c>
      <c r="DU23" s="79">
        <f>AVERAGE(DU2:DU22)</f>
        <v>0.87007227955957911</v>
      </c>
      <c r="DV23" s="78">
        <f t="shared" si="87"/>
        <v>89.797842463522684</v>
      </c>
      <c r="DW23" s="79">
        <f t="shared" ref="DW23:DX23" si="88">AVERAGE(DW2:DW22)</f>
        <v>0.84466799970494311</v>
      </c>
      <c r="DX23" s="79">
        <f t="shared" si="88"/>
        <v>0.80444571400470788</v>
      </c>
      <c r="DY23" s="82">
        <f t="shared" si="87"/>
        <v>4.162368542740202</v>
      </c>
      <c r="DZ23" s="82">
        <f t="shared" ref="DZ23:FA23" si="89">AVERAGE(DZ2:DZ22)</f>
        <v>4.3290613374608551</v>
      </c>
      <c r="EA23" s="82">
        <f t="shared" si="89"/>
        <v>4.1952850108235538</v>
      </c>
      <c r="EB23" s="82">
        <f t="shared" si="89"/>
        <v>2.7425570366746839</v>
      </c>
      <c r="EC23" s="82">
        <f t="shared" si="89"/>
        <v>3.8777654192441249</v>
      </c>
      <c r="ED23" s="82">
        <f t="shared" si="89"/>
        <v>3.9011552841363395</v>
      </c>
      <c r="EE23" s="82">
        <f t="shared" si="89"/>
        <v>3.8629373458383194</v>
      </c>
      <c r="EF23" s="82">
        <f t="shared" si="89"/>
        <v>4.4921482316272598</v>
      </c>
      <c r="EG23" s="82">
        <f t="shared" si="89"/>
        <v>3.7241379310344831</v>
      </c>
      <c r="EH23" s="82">
        <f t="shared" si="89"/>
        <v>4.0290452264564545</v>
      </c>
      <c r="EI23" s="82">
        <f t="shared" si="89"/>
        <v>3.9778824892365559</v>
      </c>
      <c r="EJ23" s="82">
        <f t="shared" si="89"/>
        <v>3.8231497701800876</v>
      </c>
      <c r="EK23" s="82">
        <f t="shared" si="89"/>
        <v>2.6911000783139802</v>
      </c>
      <c r="EL23" s="83">
        <f t="shared" si="89"/>
        <v>91.291666666666671</v>
      </c>
      <c r="EM23" s="83">
        <f t="shared" si="89"/>
        <v>0.39166666666666811</v>
      </c>
      <c r="EN23" s="83">
        <f t="shared" si="89"/>
        <v>3.2216666666666662</v>
      </c>
      <c r="EO23" s="83">
        <f t="shared" si="89"/>
        <v>3.1383333333333336</v>
      </c>
      <c r="EP23" s="83">
        <f t="shared" si="89"/>
        <v>13.358333333333334</v>
      </c>
      <c r="EQ23" s="84">
        <f t="shared" si="89"/>
        <v>-3.5116220318598059</v>
      </c>
      <c r="ER23" s="84">
        <f t="shared" si="89"/>
        <v>0.70054784072021226</v>
      </c>
      <c r="ES23" s="83">
        <f t="shared" si="89"/>
        <v>3.8166666666666669</v>
      </c>
      <c r="ET23" s="83">
        <f t="shared" si="89"/>
        <v>4.3377777597797689</v>
      </c>
      <c r="EU23" s="85">
        <f t="shared" si="89"/>
        <v>1.3033333333333335</v>
      </c>
      <c r="EV23" s="86">
        <f t="shared" si="89"/>
        <v>91.666666666666671</v>
      </c>
      <c r="EW23" s="86">
        <f t="shared" si="89"/>
        <v>11.666666666666666</v>
      </c>
      <c r="EX23" s="86">
        <f t="shared" si="89"/>
        <v>541.5</v>
      </c>
      <c r="EY23" s="86">
        <f t="shared" si="89"/>
        <v>45.833333333333336</v>
      </c>
      <c r="EZ23" s="83">
        <f t="shared" si="89"/>
        <v>9.4833333333333325</v>
      </c>
      <c r="FA23" s="83">
        <f t="shared" si="89"/>
        <v>0.11000000000000003</v>
      </c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86">
        <f t="shared" ref="HF23:HL23" si="90">AVERAGE(HF2:HF22)</f>
        <v>11.23076923076923</v>
      </c>
      <c r="HG23" s="86">
        <f t="shared" si="90"/>
        <v>14.461538461538462</v>
      </c>
      <c r="HH23" s="86">
        <f t="shared" si="90"/>
        <v>12.799206349206349</v>
      </c>
      <c r="HI23" s="86">
        <f t="shared" si="90"/>
        <v>3</v>
      </c>
      <c r="HJ23" s="86">
        <f t="shared" si="90"/>
        <v>1.1538461538461537</v>
      </c>
      <c r="HK23" s="86">
        <f t="shared" si="90"/>
        <v>3.4615384615384617</v>
      </c>
      <c r="HL23" s="86">
        <f t="shared" si="90"/>
        <v>2.7934240362811793</v>
      </c>
      <c r="HM23" s="52"/>
      <c r="HN23" s="52"/>
      <c r="HO23" s="52"/>
      <c r="HP23" s="52"/>
      <c r="HQ23" s="52"/>
      <c r="HR23" s="59"/>
      <c r="HS23" s="86">
        <f t="shared" ref="HS23:HX23" si="91">AVERAGE(HS2:HS22)</f>
        <v>4802</v>
      </c>
      <c r="HT23" s="83">
        <f t="shared" si="91"/>
        <v>19.463636363636365</v>
      </c>
      <c r="HU23" s="83">
        <f t="shared" si="91"/>
        <v>3.2727272727272729</v>
      </c>
      <c r="HV23" s="83">
        <f t="shared" si="91"/>
        <v>1.0681818181818181</v>
      </c>
      <c r="HW23" s="83">
        <f t="shared" si="91"/>
        <v>32.136363636363633</v>
      </c>
      <c r="HX23" s="86">
        <f t="shared" si="91"/>
        <v>3050.8618181818179</v>
      </c>
    </row>
    <row r="24" spans="1:232" s="39" customFormat="1" ht="14.25" customHeight="1" x14ac:dyDescent="0.35">
      <c r="A24" s="35" t="s">
        <v>124</v>
      </c>
      <c r="B24" s="35"/>
      <c r="C24" s="35"/>
      <c r="D24" s="35"/>
      <c r="E24" s="35"/>
      <c r="F24" s="38">
        <f t="shared" ref="F24:P24" si="92">STDEV(F2:F22)</f>
        <v>9.8478907579721184</v>
      </c>
      <c r="G24" s="96">
        <f t="shared" si="92"/>
        <v>6.432802840205229E-2</v>
      </c>
      <c r="H24" s="36">
        <f t="shared" si="92"/>
        <v>14.410997784430361</v>
      </c>
      <c r="I24" s="36">
        <f t="shared" si="92"/>
        <v>4.429386422656667</v>
      </c>
      <c r="J24" s="36">
        <f t="shared" si="92"/>
        <v>0.62630055161430698</v>
      </c>
      <c r="K24" s="36">
        <f t="shared" si="92"/>
        <v>0.51838852867966512</v>
      </c>
      <c r="L24" s="36">
        <f t="shared" si="92"/>
        <v>5.2657684285256332</v>
      </c>
      <c r="M24" s="37">
        <f t="shared" si="92"/>
        <v>0.21276504936230642</v>
      </c>
      <c r="N24" s="37">
        <f t="shared" si="92"/>
        <v>0.15611592588960366</v>
      </c>
      <c r="O24" s="37">
        <f t="shared" si="92"/>
        <v>9.8459690001106714E-2</v>
      </c>
      <c r="P24" s="37">
        <f t="shared" si="92"/>
        <v>7.2914594880397809E-2</v>
      </c>
      <c r="Q24" s="37">
        <f t="shared" ref="Q24:R24" si="93">STDEV(Q2:Q22)</f>
        <v>0.12852481718546876</v>
      </c>
      <c r="R24" s="37">
        <f t="shared" si="93"/>
        <v>9.0007361651658208E-2</v>
      </c>
      <c r="S24" s="72">
        <f t="shared" ref="S24:AH24" si="94">STDEV(S2:S22)</f>
        <v>3.1879632249776053</v>
      </c>
      <c r="T24" s="73">
        <f t="shared" si="94"/>
        <v>3.5386391797251378</v>
      </c>
      <c r="U24" s="72">
        <f t="shared" si="94"/>
        <v>0.91084663570788127</v>
      </c>
      <c r="V24" s="72">
        <f t="shared" si="94"/>
        <v>1.0063204739717808</v>
      </c>
      <c r="W24" s="74">
        <f t="shared" si="94"/>
        <v>0.12446839338716204</v>
      </c>
      <c r="X24" s="75">
        <f t="shared" si="94"/>
        <v>23.258383025317574</v>
      </c>
      <c r="Y24" s="75">
        <f t="shared" si="94"/>
        <v>143.7133390104197</v>
      </c>
      <c r="Z24" s="72">
        <f t="shared" si="94"/>
        <v>2.5169145788435463</v>
      </c>
      <c r="AA24" s="72">
        <f>STDEV(AA2:AA22)</f>
        <v>2.7937751825163359</v>
      </c>
      <c r="AB24" s="75">
        <f t="shared" si="94"/>
        <v>16.242214252050854</v>
      </c>
      <c r="AC24" s="75">
        <f t="shared" si="94"/>
        <v>90.602480781761841</v>
      </c>
      <c r="AD24" s="72">
        <f t="shared" si="94"/>
        <v>2.3855364367179805</v>
      </c>
      <c r="AE24" s="72">
        <f>STDEV(AE2:AE22)</f>
        <v>2.6479454447569428</v>
      </c>
      <c r="AF24" s="75">
        <f t="shared" si="94"/>
        <v>19.164360862620157</v>
      </c>
      <c r="AG24" s="75">
        <f t="shared" si="94"/>
        <v>117.14647008999228</v>
      </c>
      <c r="AH24" s="72">
        <f t="shared" si="94"/>
        <v>3.0889924385977845</v>
      </c>
      <c r="AI24" s="75"/>
      <c r="AJ24" s="75">
        <f>STDEV(AJ2:AJ22)</f>
        <v>12.567910763224752</v>
      </c>
      <c r="AK24" s="75">
        <f>STDEV(AK2:AK22)</f>
        <v>15.742874427438451</v>
      </c>
      <c r="AL24" s="75">
        <f>STDEV(AL2:AL22)</f>
        <v>18.118089069080952</v>
      </c>
      <c r="AM24" s="75">
        <f>STDEV(AM2:AM22)</f>
        <v>26.042456178508257</v>
      </c>
      <c r="AN24" s="41">
        <f>STDEV(AN2:AN22)</f>
        <v>27.344578987433749</v>
      </c>
      <c r="AO24" s="77">
        <f t="shared" ref="AO24:AY24" si="95">STDEV(AO2:AO22)</f>
        <v>0.54404131495774299</v>
      </c>
      <c r="AP24" s="77">
        <f t="shared" si="95"/>
        <v>4.8785794894406891</v>
      </c>
      <c r="AQ24" s="79">
        <f t="shared" si="95"/>
        <v>0.16757970667498254</v>
      </c>
      <c r="AR24" s="80">
        <f t="shared" si="95"/>
        <v>0.15097270871620133</v>
      </c>
      <c r="AS24" s="77">
        <f t="shared" si="95"/>
        <v>0.83956303133015786</v>
      </c>
      <c r="AT24" s="77">
        <f t="shared" si="95"/>
        <v>1.024738530800934</v>
      </c>
      <c r="AU24" s="81">
        <f t="shared" si="95"/>
        <v>0.11011682108431103</v>
      </c>
      <c r="AV24" s="77">
        <f t="shared" si="95"/>
        <v>2.4203939073354741</v>
      </c>
      <c r="AW24" s="77">
        <f t="shared" si="95"/>
        <v>2.2483066643905416</v>
      </c>
      <c r="AX24" s="77">
        <f>STDEV(AX2:AX22)</f>
        <v>2.2992350177105996</v>
      </c>
      <c r="AY24" s="77">
        <f t="shared" si="95"/>
        <v>0.81536721912291454</v>
      </c>
      <c r="AZ24" s="77">
        <f t="shared" ref="AZ24:BE24" si="96">STDEV(AZ2:AZ22)</f>
        <v>0.82572638342381899</v>
      </c>
      <c r="BA24" s="77">
        <f t="shared" si="96"/>
        <v>0.80883804744301058</v>
      </c>
      <c r="BB24" s="79">
        <f t="shared" si="96"/>
        <v>0.19059592456591332</v>
      </c>
      <c r="BC24" s="79">
        <f t="shared" si="96"/>
        <v>0.18708493666713422</v>
      </c>
      <c r="BD24" s="80">
        <f t="shared" si="96"/>
        <v>0.16854498798840811</v>
      </c>
      <c r="BE24" s="77">
        <f t="shared" si="96"/>
        <v>2.3320989932431488</v>
      </c>
      <c r="BF24" s="77"/>
      <c r="BG24" s="79">
        <f>STDEV(BG2:BG22)</f>
        <v>0.21214889766004497</v>
      </c>
      <c r="BH24" s="80">
        <f>STDEV(BH2:BH22)</f>
        <v>0.16119442598369912</v>
      </c>
      <c r="BI24" s="80">
        <f>STDEV(BI2:BI22)</f>
        <v>0.14522020358891885</v>
      </c>
      <c r="BJ24" s="80">
        <f>STDEV(BJ2:BJ22)</f>
        <v>0.24643559194512457</v>
      </c>
      <c r="BK24" s="80">
        <f>STDEV(BK2:BK22)</f>
        <v>0.22201404679740916</v>
      </c>
      <c r="BL24" s="80"/>
      <c r="BM24" s="80"/>
      <c r="BN24" s="77">
        <f>STDEV(BN2:BN22)</f>
        <v>0.66631399806947278</v>
      </c>
      <c r="BO24" s="77">
        <f>STDEV(BO2:BO22)</f>
        <v>0.79741957481826797</v>
      </c>
      <c r="BP24" s="81">
        <f>STDEV(BP2:BP22)</f>
        <v>0.10651626301046363</v>
      </c>
      <c r="BQ24" s="77">
        <f>STDEV(BQ2:BQ22)</f>
        <v>2.1750700380285952</v>
      </c>
      <c r="BR24" s="77">
        <f t="shared" ref="BR24:BW24" si="97">STDEV(BR2:BR22)</f>
        <v>3.1770575260466325</v>
      </c>
      <c r="BS24" s="77">
        <f t="shared" si="97"/>
        <v>2.1992840777274529</v>
      </c>
      <c r="BT24" s="77">
        <f t="shared" si="97"/>
        <v>3.6628131265463146</v>
      </c>
      <c r="BU24" s="77">
        <f t="shared" si="97"/>
        <v>2.3500772530361727</v>
      </c>
      <c r="BV24" s="104">
        <f>STDEV(BV2:BV22)</f>
        <v>0.18857246097410407</v>
      </c>
      <c r="BW24" s="77">
        <f t="shared" si="97"/>
        <v>2.736648005807893</v>
      </c>
      <c r="BX24" s="77">
        <f t="shared" ref="BX24:CL24" si="98">STDEV(BX2:BX22)</f>
        <v>2.1944759881660558</v>
      </c>
      <c r="BY24" s="77">
        <f t="shared" si="98"/>
        <v>1.9246038553427143</v>
      </c>
      <c r="BZ24" s="77" t="s">
        <v>75</v>
      </c>
      <c r="CA24" s="77">
        <f t="shared" si="98"/>
        <v>3.8199650339417719</v>
      </c>
      <c r="CB24" s="79">
        <f t="shared" ref="CB24:CC24" si="99">STDEV(CB2:CB22)</f>
        <v>0.17217189984110801</v>
      </c>
      <c r="CC24" s="79">
        <f t="shared" si="99"/>
        <v>0.15510981967667387</v>
      </c>
      <c r="CD24" s="77">
        <f t="shared" si="98"/>
        <v>2.4767507876824557</v>
      </c>
      <c r="CE24" s="110"/>
      <c r="CF24" s="79">
        <f t="shared" si="98"/>
        <v>0.18260876748193811</v>
      </c>
      <c r="CG24" s="79">
        <f t="shared" si="98"/>
        <v>0.16451240313688256</v>
      </c>
      <c r="CH24" s="77">
        <f>STDEV(CH2:CH22)</f>
        <v>1.2193739622160071</v>
      </c>
      <c r="CI24" s="77">
        <f t="shared" si="98"/>
        <v>2.5526328456016576</v>
      </c>
      <c r="CJ24" s="79">
        <f t="shared" ref="CJ24:CK24" si="100">STDEV(CJ2:CJ22)</f>
        <v>0.184696419321386</v>
      </c>
      <c r="CK24" s="79">
        <f t="shared" si="100"/>
        <v>0.16639317055980682</v>
      </c>
      <c r="CL24" s="77">
        <f t="shared" si="98"/>
        <v>1.9907038072881811</v>
      </c>
      <c r="CM24" s="79">
        <f t="shared" ref="CM24:CN24" si="101">STDEV(CM2:CM22)</f>
        <v>0.20722699505821573</v>
      </c>
      <c r="CN24" s="79">
        <f t="shared" si="101"/>
        <v>0.1866909865389329</v>
      </c>
      <c r="CO24" s="78">
        <f>STDEV(CO2:CO22)</f>
        <v>11.169030967243868</v>
      </c>
      <c r="CP24" s="78">
        <f>STDEV(CP2:CP22)</f>
        <v>37.529580212281388</v>
      </c>
      <c r="CQ24" s="79">
        <f>STDEV(CQ2:CQ22)</f>
        <v>0.14082316108741447</v>
      </c>
      <c r="CR24" s="78"/>
      <c r="CS24" s="78">
        <f t="shared" ref="CS24:DF24" si="102">STDEV(CS2:CS22)</f>
        <v>17.854109632497241</v>
      </c>
      <c r="CT24" s="78">
        <f t="shared" si="102"/>
        <v>17.641733736534206</v>
      </c>
      <c r="CU24" s="78">
        <f t="shared" ref="CU24" si="103">STDEV(CU2:CU22)</f>
        <v>30.04089283336711</v>
      </c>
      <c r="CV24" s="79">
        <f t="shared" si="102"/>
        <v>0.23308527318664887</v>
      </c>
      <c r="CW24" s="79">
        <f t="shared" si="102"/>
        <v>8.5423198824263413E-2</v>
      </c>
      <c r="CX24" s="79">
        <f t="shared" si="102"/>
        <v>8.2570164348914662E-2</v>
      </c>
      <c r="CY24" s="78">
        <f t="shared" si="102"/>
        <v>19.057028353610907</v>
      </c>
      <c r="CZ24" s="79">
        <f t="shared" si="102"/>
        <v>0.19277700229946682</v>
      </c>
      <c r="DA24" s="79">
        <f t="shared" ref="DA24" si="104">STDEV(DA2:DA22)</f>
        <v>9.2742323734361129E-2</v>
      </c>
      <c r="DB24" s="78">
        <f t="shared" si="102"/>
        <v>13.600565384861</v>
      </c>
      <c r="DC24" s="78">
        <f t="shared" si="102"/>
        <v>18.368574943488245</v>
      </c>
      <c r="DD24" s="78">
        <f t="shared" si="102"/>
        <v>16.049402896473541</v>
      </c>
      <c r="DE24" s="78" t="e">
        <f t="shared" si="102"/>
        <v>#DIV/0!</v>
      </c>
      <c r="DF24" s="78">
        <f t="shared" si="102"/>
        <v>17.073371078963874</v>
      </c>
      <c r="DG24" s="78">
        <f t="shared" ref="DG24:DO24" si="105">STDEV(DG2:DG22)</f>
        <v>1.4142135623730951</v>
      </c>
      <c r="DH24" s="78">
        <f t="shared" si="105"/>
        <v>18.64621459388789</v>
      </c>
      <c r="DI24" s="104">
        <f>STDEV(DI2:DI22)</f>
        <v>0.14646690743427293</v>
      </c>
      <c r="DJ24" s="78">
        <f t="shared" si="105"/>
        <v>23.300409672559212</v>
      </c>
      <c r="DK24" s="78">
        <f t="shared" si="105"/>
        <v>21.10823754622097</v>
      </c>
      <c r="DL24" s="78">
        <f t="shared" si="105"/>
        <v>18.837086818823767</v>
      </c>
      <c r="DM24" s="78">
        <f t="shared" si="105"/>
        <v>31.70521588951317</v>
      </c>
      <c r="DN24" s="78"/>
      <c r="DO24" s="78">
        <f t="shared" si="105"/>
        <v>33.276998872301668</v>
      </c>
      <c r="DP24" s="79">
        <f>STDEV(DP2:DP22)</f>
        <v>7.7489597778324398E-2</v>
      </c>
      <c r="DQ24" s="79">
        <f>STDEV(DQ2:DQ22)</f>
        <v>7.3799616931737519E-2</v>
      </c>
      <c r="DR24" s="79">
        <f t="shared" ref="DR24:DY24" si="106">STDEV(DR2:DR22)</f>
        <v>0.14094097094898642</v>
      </c>
      <c r="DS24" s="79">
        <f>STDEV(DS2:DS22)</f>
        <v>0.13422949614189256</v>
      </c>
      <c r="DT24" s="79">
        <f t="shared" si="106"/>
        <v>9.804091884096984E-2</v>
      </c>
      <c r="DU24" s="79">
        <f>STDEV(DU2:DU22)</f>
        <v>9.3372303658065633E-2</v>
      </c>
      <c r="DV24" s="78">
        <f t="shared" si="106"/>
        <v>31.719922372808508</v>
      </c>
      <c r="DW24" s="79">
        <f t="shared" ref="DW24:DX24" si="107">STDEV(DW2:DW22)</f>
        <v>0.10436380086446023</v>
      </c>
      <c r="DX24" s="79">
        <f t="shared" si="107"/>
        <v>9.9394096061388854E-2</v>
      </c>
      <c r="DY24" s="82">
        <f t="shared" si="106"/>
        <v>0.87274614380873494</v>
      </c>
      <c r="DZ24" s="82">
        <f t="shared" ref="DZ24:EE24" si="108">STDEV(DZ2:DZ22)</f>
        <v>0.94808939372173329</v>
      </c>
      <c r="EA24" s="82">
        <f t="shared" si="108"/>
        <v>0.8228809621064096</v>
      </c>
      <c r="EB24" s="82">
        <f t="shared" si="108"/>
        <v>0.53820172083463513</v>
      </c>
      <c r="EC24" s="82">
        <f t="shared" si="108"/>
        <v>0.98786923362128853</v>
      </c>
      <c r="ED24" s="82">
        <f t="shared" si="108"/>
        <v>0.74520524836613278</v>
      </c>
      <c r="EE24" s="82">
        <f t="shared" si="108"/>
        <v>0.69257337689623411</v>
      </c>
      <c r="EF24" s="82">
        <f t="shared" ref="EF24:EK24" si="109">STDEV(EF2:EF22)</f>
        <v>0.56118363410486438</v>
      </c>
      <c r="EG24" s="82" t="e">
        <f t="shared" si="109"/>
        <v>#DIV/0!</v>
      </c>
      <c r="EH24" s="82">
        <f t="shared" si="109"/>
        <v>0.78957843371078362</v>
      </c>
      <c r="EI24" s="82">
        <f t="shared" si="109"/>
        <v>0.93574469371307623</v>
      </c>
      <c r="EJ24" s="82">
        <f t="shared" si="109"/>
        <v>0.92131182539060152</v>
      </c>
      <c r="EK24" s="82">
        <f t="shared" si="109"/>
        <v>0.78830602988682541</v>
      </c>
      <c r="EL24" s="83">
        <f t="shared" ref="EL24:FA24" si="110">STDEV(EL2:EL22)</f>
        <v>7.265563754222149</v>
      </c>
      <c r="EM24" s="83">
        <f t="shared" si="110"/>
        <v>1.4416714836143005</v>
      </c>
      <c r="EN24" s="83">
        <f t="shared" si="110"/>
        <v>0.48917958529222116</v>
      </c>
      <c r="EO24" s="83">
        <f t="shared" si="110"/>
        <v>0.4912195707284725</v>
      </c>
      <c r="EP24" s="83">
        <f t="shared" si="110"/>
        <v>2.6155490182114032</v>
      </c>
      <c r="EQ24" s="84">
        <f t="shared" si="110"/>
        <v>11.414082945240651</v>
      </c>
      <c r="ER24" s="84">
        <f t="shared" si="110"/>
        <v>0.25418053457412837</v>
      </c>
      <c r="ES24" s="83">
        <f t="shared" si="110"/>
        <v>0.74729971948897178</v>
      </c>
      <c r="ET24" s="83">
        <f t="shared" si="110"/>
        <v>0.99256984538552806</v>
      </c>
      <c r="EU24" s="85">
        <f t="shared" si="110"/>
        <v>9.6263527187957665E-2</v>
      </c>
      <c r="EV24" s="86">
        <f t="shared" si="110"/>
        <v>25.625508125043435</v>
      </c>
      <c r="EW24" s="86">
        <f t="shared" si="110"/>
        <v>4.0824829046386313</v>
      </c>
      <c r="EX24" s="86">
        <f t="shared" si="110"/>
        <v>156.04326323170764</v>
      </c>
      <c r="EY24" s="86">
        <f t="shared" si="110"/>
        <v>33.790037979657065</v>
      </c>
      <c r="EZ24" s="83">
        <f t="shared" si="110"/>
        <v>1.7076026079467914</v>
      </c>
      <c r="FA24" s="83">
        <f t="shared" si="110"/>
        <v>1.1345307399978199</v>
      </c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86">
        <f t="shared" ref="HF24:HL24" si="111">STDEV(HF2:HF22)</f>
        <v>1.4232501627054295</v>
      </c>
      <c r="HG24" s="86">
        <f t="shared" si="111"/>
        <v>1.39136531360295</v>
      </c>
      <c r="HH24" s="86">
        <f t="shared" si="111"/>
        <v>0.69520763923233397</v>
      </c>
      <c r="HI24" s="86">
        <f t="shared" si="111"/>
        <v>2.7386127875258306</v>
      </c>
      <c r="HJ24" s="86">
        <f t="shared" si="111"/>
        <v>2.7942248133771033</v>
      </c>
      <c r="HK24" s="86">
        <f t="shared" si="111"/>
        <v>1.7614096918559583</v>
      </c>
      <c r="HL24" s="86">
        <f t="shared" si="111"/>
        <v>2.101687160989274</v>
      </c>
      <c r="HM24" s="52"/>
      <c r="HN24" s="52"/>
      <c r="HO24" s="52"/>
      <c r="HP24" s="52"/>
      <c r="HQ24" s="52"/>
      <c r="HR24" s="59"/>
      <c r="HS24" s="86">
        <f t="shared" ref="HS24:HX24" si="112">STDEV(HS2:HS22)</f>
        <v>2194.4867737127056</v>
      </c>
      <c r="HT24" s="83">
        <f t="shared" si="112"/>
        <v>1.8106754139120169</v>
      </c>
      <c r="HU24" s="83">
        <f t="shared" si="112"/>
        <v>1.4163974788814819</v>
      </c>
      <c r="HV24" s="83">
        <f t="shared" si="112"/>
        <v>0.41501369090231671</v>
      </c>
      <c r="HW24" s="83">
        <f t="shared" si="112"/>
        <v>0.90694291691674478</v>
      </c>
      <c r="HX24" s="86">
        <f t="shared" si="112"/>
        <v>500.04517509557684</v>
      </c>
    </row>
    <row r="25" spans="1:232" s="39" customFormat="1" x14ac:dyDescent="0.35">
      <c r="A25" s="35" t="s">
        <v>138</v>
      </c>
      <c r="B25" s="35"/>
      <c r="C25" s="35"/>
      <c r="D25" s="35"/>
      <c r="E25" s="35"/>
      <c r="F25" s="38">
        <f t="shared" ref="F25:P25" si="113">MEDIAN(F2:F22)</f>
        <v>67</v>
      </c>
      <c r="G25" s="96">
        <f t="shared" si="113"/>
        <v>1.76</v>
      </c>
      <c r="H25" s="36">
        <f t="shared" si="113"/>
        <v>94.1</v>
      </c>
      <c r="I25" s="36">
        <f t="shared" si="113"/>
        <v>30.163127116035707</v>
      </c>
      <c r="J25" s="36">
        <f t="shared" si="113"/>
        <v>3.75</v>
      </c>
      <c r="K25" s="36">
        <f t="shared" si="113"/>
        <v>2.94</v>
      </c>
      <c r="L25" s="36">
        <f t="shared" si="113"/>
        <v>22.7</v>
      </c>
      <c r="M25" s="37">
        <f t="shared" si="113"/>
        <v>0.61621621621621625</v>
      </c>
      <c r="N25" s="37">
        <f t="shared" si="113"/>
        <v>0.41088385682980277</v>
      </c>
      <c r="O25" s="37">
        <f t="shared" si="113"/>
        <v>0.66666666666666663</v>
      </c>
      <c r="P25" s="37">
        <f t="shared" si="113"/>
        <v>0.86169480546736676</v>
      </c>
      <c r="Q25" s="37">
        <f t="shared" ref="Q25:R25" si="114">MEDIAN(Q2:Q22)</f>
        <v>0.55806237558062377</v>
      </c>
      <c r="R25" s="37">
        <f t="shared" si="114"/>
        <v>0.81735136392240548</v>
      </c>
      <c r="S25" s="72">
        <f t="shared" ref="S25:AH25" si="115">MEDIAN(S2:S22)</f>
        <v>14.5</v>
      </c>
      <c r="T25" s="73">
        <f t="shared" si="115"/>
        <v>16.095000000000002</v>
      </c>
      <c r="U25" s="72">
        <f t="shared" si="115"/>
        <v>4.1428571428571432</v>
      </c>
      <c r="V25" s="72">
        <f t="shared" si="115"/>
        <v>4.3799283154121866</v>
      </c>
      <c r="W25" s="74">
        <f t="shared" si="115"/>
        <v>1.18</v>
      </c>
      <c r="X25" s="75">
        <f t="shared" si="115"/>
        <v>90</v>
      </c>
      <c r="Y25" s="75">
        <f t="shared" si="115"/>
        <v>540</v>
      </c>
      <c r="Z25" s="72">
        <f t="shared" si="115"/>
        <v>8.8000000000000007</v>
      </c>
      <c r="AA25" s="72">
        <f>MEDIAN(AA2:AA22)</f>
        <v>9.7680000000000025</v>
      </c>
      <c r="AB25" s="75">
        <f t="shared" si="115"/>
        <v>20</v>
      </c>
      <c r="AC25" s="75">
        <f t="shared" si="115"/>
        <v>135</v>
      </c>
      <c r="AD25" s="72">
        <f t="shared" si="115"/>
        <v>12.684999999999999</v>
      </c>
      <c r="AE25" s="72">
        <f>MEDIAN(AE2:AE22)</f>
        <v>14.080350000000001</v>
      </c>
      <c r="AF25" s="75">
        <f t="shared" si="115"/>
        <v>70</v>
      </c>
      <c r="AG25" s="75">
        <f t="shared" si="115"/>
        <v>370</v>
      </c>
      <c r="AH25" s="72">
        <f t="shared" si="115"/>
        <v>31.1</v>
      </c>
      <c r="AI25" s="75"/>
      <c r="AJ25" s="75">
        <f>MEDIAN(AJ2:AJ22)</f>
        <v>68</v>
      </c>
      <c r="AK25" s="75">
        <f>MEDIAN(AK2:AK22)</f>
        <v>84</v>
      </c>
      <c r="AL25" s="75">
        <f>MEDIAN(AL2:AL22)</f>
        <v>106</v>
      </c>
      <c r="AM25" s="75">
        <f>MEDIAN(AM2:AM22)</f>
        <v>111</v>
      </c>
      <c r="AN25" s="41">
        <f>MEDIAN(AN2:AN22)</f>
        <v>116.55000000000001</v>
      </c>
      <c r="AO25" s="77">
        <f t="shared" ref="AO25:AY25" si="116">MEDIAN(AO2:AO22)</f>
        <v>2.94</v>
      </c>
      <c r="AP25" s="77">
        <f t="shared" si="116"/>
        <v>16.244999999999997</v>
      </c>
      <c r="AQ25" s="79">
        <f t="shared" si="116"/>
        <v>1.1367875647668395</v>
      </c>
      <c r="AR25" s="80">
        <f t="shared" si="116"/>
        <v>1.0241329412313869</v>
      </c>
      <c r="AS25" s="77">
        <f t="shared" si="116"/>
        <v>4.6857142857142851</v>
      </c>
      <c r="AT25" s="77">
        <f t="shared" si="116"/>
        <v>5.1902985074626864</v>
      </c>
      <c r="AU25" s="81">
        <f t="shared" si="116"/>
        <v>0.95</v>
      </c>
      <c r="AV25" s="77">
        <f t="shared" si="116"/>
        <v>11.66</v>
      </c>
      <c r="AW25" s="77">
        <f t="shared" si="116"/>
        <v>12.11</v>
      </c>
      <c r="AX25" s="77">
        <f>MEDIAN(AX2:AX22)</f>
        <v>11.885</v>
      </c>
      <c r="AY25" s="77">
        <f t="shared" si="116"/>
        <v>3.8171641791044775</v>
      </c>
      <c r="AZ25" s="77">
        <f t="shared" ref="AZ25:BE25" si="117">MEDIAN(AZ2:AZ22)</f>
        <v>4.171875</v>
      </c>
      <c r="BA25" s="77">
        <f t="shared" si="117"/>
        <v>3.9945195895522385</v>
      </c>
      <c r="BB25" s="79">
        <f t="shared" si="117"/>
        <v>0.91878172588832496</v>
      </c>
      <c r="BC25" s="79">
        <f t="shared" si="117"/>
        <v>0.87828947368421051</v>
      </c>
      <c r="BD25" s="80">
        <f t="shared" si="117"/>
        <v>0.79125177809388336</v>
      </c>
      <c r="BE25" s="77">
        <f t="shared" si="117"/>
        <v>11.52</v>
      </c>
      <c r="BF25" s="77"/>
      <c r="BG25" s="79">
        <f>MEDIAN(BG2:BG22)</f>
        <v>0.78424657534246578</v>
      </c>
      <c r="BH25" s="80">
        <f>MEDIAN(BH2:BH22)</f>
        <v>0.83442838370565042</v>
      </c>
      <c r="BI25" s="80">
        <f>MEDIAN(BI2:BI22)</f>
        <v>0.75173728261770301</v>
      </c>
      <c r="BJ25" s="80">
        <f>MEDIAN(BJ2:BJ22)</f>
        <v>1.3008849557522122</v>
      </c>
      <c r="BK25" s="80">
        <f>MEDIAN(BK2:BK22)</f>
        <v>1.1719684286055967</v>
      </c>
      <c r="BL25" s="80"/>
      <c r="BM25" s="80"/>
      <c r="BN25" s="77">
        <f>MEDIAN(BN2:BN22)</f>
        <v>3.2914285714285714</v>
      </c>
      <c r="BO25" s="77">
        <f>MEDIAN(BO2:BO22)</f>
        <v>3.7161290322580642</v>
      </c>
      <c r="BP25" s="81">
        <f>MEDIAN(BP2:BP22)</f>
        <v>1.03</v>
      </c>
      <c r="BQ25" s="77">
        <f>MEDIAN(BQ2:BQ22)</f>
        <v>12.425000000000001</v>
      </c>
      <c r="BR25" s="77">
        <f t="shared" ref="BR25:BW25" si="118">MEDIAN(BR2:BR22)</f>
        <v>13.64</v>
      </c>
      <c r="BS25" s="77">
        <f t="shared" si="118"/>
        <v>13.7</v>
      </c>
      <c r="BT25" s="77">
        <f t="shared" si="118"/>
        <v>7.8100000000000005</v>
      </c>
      <c r="BU25" s="77">
        <f t="shared" si="118"/>
        <v>12.06</v>
      </c>
      <c r="BV25" s="104">
        <f>MEDIAN(BV2:BV22)</f>
        <v>0.8896551724137931</v>
      </c>
      <c r="BW25" s="77">
        <f t="shared" si="118"/>
        <v>11.55</v>
      </c>
      <c r="BX25" s="77">
        <f t="shared" ref="BX25:CL25" si="119">MEDIAN(BX2:BX22)</f>
        <v>12.059999999999999</v>
      </c>
      <c r="BY25" s="77">
        <f t="shared" si="119"/>
        <v>14.75</v>
      </c>
      <c r="BZ25" s="77">
        <f t="shared" si="119"/>
        <v>10.8</v>
      </c>
      <c r="CA25" s="77">
        <f t="shared" si="119"/>
        <v>11.935625</v>
      </c>
      <c r="CB25" s="79">
        <f t="shared" ref="CB25:CC25" si="120">MEDIAN(CB2:CB22)</f>
        <v>0.87766097240473051</v>
      </c>
      <c r="CC25" s="79">
        <f t="shared" si="120"/>
        <v>0.79068556072498242</v>
      </c>
      <c r="CD25" s="77">
        <f t="shared" si="119"/>
        <v>11.65</v>
      </c>
      <c r="CE25" s="110"/>
      <c r="CF25" s="79">
        <f t="shared" si="119"/>
        <v>0.81107954545454541</v>
      </c>
      <c r="CG25" s="79">
        <f t="shared" si="119"/>
        <v>0.73070229320229307</v>
      </c>
      <c r="CH25" s="77">
        <f>MEDIAN(CH2:CH22)</f>
        <v>6.2850340397215394</v>
      </c>
      <c r="CI25" s="77">
        <f t="shared" si="119"/>
        <v>10.975</v>
      </c>
      <c r="CJ25" s="79">
        <f t="shared" ref="CJ25:CK25" si="121">MEDIAN(CJ2:CJ22)</f>
        <v>0.79949238578680204</v>
      </c>
      <c r="CK25" s="79">
        <f t="shared" si="121"/>
        <v>0.72026341061874055</v>
      </c>
      <c r="CL25" s="77">
        <f t="shared" si="119"/>
        <v>7.3900000000000006</v>
      </c>
      <c r="CM25" s="79">
        <f t="shared" ref="CM25:CN25" si="122">MEDIAN(CM2:CM22)</f>
        <v>0.53522983130053503</v>
      </c>
      <c r="CN25" s="79">
        <f t="shared" si="122"/>
        <v>0.48218903720768913</v>
      </c>
      <c r="CO25" s="78">
        <f>MEDIAN(CO2:CO22)</f>
        <v>64.5</v>
      </c>
      <c r="CP25" s="78">
        <f>MEDIAN(CP2:CP22)</f>
        <v>111</v>
      </c>
      <c r="CQ25" s="79">
        <f>MEDIAN(CQ2:CQ22)</f>
        <v>1.0562478062478062</v>
      </c>
      <c r="CR25" s="78"/>
      <c r="CS25" s="78">
        <f t="shared" ref="CS25:DF25" si="123">MEDIAN(CS2:CS22)</f>
        <v>92</v>
      </c>
      <c r="CT25" s="78">
        <f t="shared" si="123"/>
        <v>94.5</v>
      </c>
      <c r="CU25" s="78">
        <f t="shared" ref="CU25" si="124">MEDIAN(CU2:CU22)</f>
        <v>92.5</v>
      </c>
      <c r="CV25" s="79">
        <f t="shared" si="123"/>
        <v>0.84166666666666667</v>
      </c>
      <c r="CW25" s="79">
        <f t="shared" si="123"/>
        <v>0.8125</v>
      </c>
      <c r="CX25" s="79">
        <f t="shared" si="123"/>
        <v>0.78027950310559002</v>
      </c>
      <c r="CY25" s="78">
        <f t="shared" si="123"/>
        <v>97.5</v>
      </c>
      <c r="CZ25" s="79">
        <f t="shared" si="123"/>
        <v>0.90816326530612246</v>
      </c>
      <c r="DA25" s="79">
        <f t="shared" ref="DA25" si="125">MEDIAN(DA2:DA22)</f>
        <v>0.87301587301587302</v>
      </c>
      <c r="DB25" s="78">
        <f t="shared" si="123"/>
        <v>95.75</v>
      </c>
      <c r="DC25" s="78">
        <f t="shared" si="123"/>
        <v>112</v>
      </c>
      <c r="DD25" s="78">
        <f t="shared" si="123"/>
        <v>124.5</v>
      </c>
      <c r="DE25" s="78">
        <f t="shared" si="123"/>
        <v>81</v>
      </c>
      <c r="DF25" s="78">
        <f t="shared" si="123"/>
        <v>110</v>
      </c>
      <c r="DG25" s="78">
        <f t="shared" ref="DG25:DO25" si="126">MEDIAN(DG2:DG22)</f>
        <v>83</v>
      </c>
      <c r="DH25" s="78">
        <f t="shared" si="126"/>
        <v>94.75</v>
      </c>
      <c r="DI25" s="104">
        <f>MEDIAN(DI2:DI22)</f>
        <v>0.91156462585034015</v>
      </c>
      <c r="DJ25" s="78">
        <f t="shared" si="126"/>
        <v>101</v>
      </c>
      <c r="DK25" s="78">
        <f t="shared" si="126"/>
        <v>98.5</v>
      </c>
      <c r="DL25" s="78">
        <f t="shared" si="126"/>
        <v>99.1875</v>
      </c>
      <c r="DM25" s="78">
        <f t="shared" si="126"/>
        <v>97.25</v>
      </c>
      <c r="DN25" s="78"/>
      <c r="DO25" s="78">
        <f t="shared" si="126"/>
        <v>90.5</v>
      </c>
      <c r="DP25" s="79">
        <f>MEDIAN(DP2:DP22)</f>
        <v>0.91096938775510194</v>
      </c>
      <c r="DQ25" s="79">
        <f>MEDIAN(DQ2:DQ22)</f>
        <v>0.86758989310009715</v>
      </c>
      <c r="DR25" s="79">
        <f t="shared" ref="DR25:DY25" si="127">MEDIAN(DR2:DR22)</f>
        <v>0.90603741496598644</v>
      </c>
      <c r="DS25" s="79">
        <f>MEDIAN(DS2:DS22)</f>
        <v>0.86289277615808224</v>
      </c>
      <c r="DT25" s="79">
        <f t="shared" si="127"/>
        <v>0.92087585034013597</v>
      </c>
      <c r="DU25" s="79">
        <f>MEDIAN(DU2:DU22)</f>
        <v>0.87702461937155807</v>
      </c>
      <c r="DV25" s="78">
        <f t="shared" si="127"/>
        <v>86</v>
      </c>
      <c r="DW25" s="79">
        <f t="shared" ref="DW25:DX25" si="128">MEDIAN(DW2:DW22)</f>
        <v>0.85314995563442775</v>
      </c>
      <c r="DX25" s="79">
        <f t="shared" si="128"/>
        <v>0.81252376727088338</v>
      </c>
      <c r="DY25" s="82">
        <f t="shared" si="127"/>
        <v>3.9544493882091212</v>
      </c>
      <c r="DZ25" s="82">
        <f t="shared" ref="DZ25:EE25" si="129">MEDIAN(DZ2:DZ22)</f>
        <v>4.3298969072164946</v>
      </c>
      <c r="EA25" s="82">
        <f t="shared" si="129"/>
        <v>4.0395871956494869</v>
      </c>
      <c r="EB25" s="82">
        <f t="shared" si="129"/>
        <v>2.7425570366746839</v>
      </c>
      <c r="EC25" s="82">
        <f t="shared" si="129"/>
        <v>3.6426116838487967</v>
      </c>
      <c r="ED25" s="82">
        <f t="shared" si="129"/>
        <v>3.9211469534050178</v>
      </c>
      <c r="EE25" s="82">
        <f t="shared" si="129"/>
        <v>3.9326503923278118</v>
      </c>
      <c r="EF25" s="82">
        <f t="shared" ref="EF25:EK25" si="130">MEDIAN(EF2:EF22)</f>
        <v>4.4623083131557708</v>
      </c>
      <c r="EG25" s="82">
        <f t="shared" si="130"/>
        <v>3.7241379310344831</v>
      </c>
      <c r="EH25" s="82">
        <f t="shared" si="130"/>
        <v>3.9271011707146597</v>
      </c>
      <c r="EI25" s="82">
        <f t="shared" si="130"/>
        <v>3.6769759450171815</v>
      </c>
      <c r="EJ25" s="82">
        <f t="shared" si="130"/>
        <v>3.7562107721500513</v>
      </c>
      <c r="EK25" s="82">
        <f t="shared" si="130"/>
        <v>2.4044792508339032</v>
      </c>
      <c r="EL25" s="83">
        <f t="shared" ref="EL25:FA25" si="131">MEDIAN(EL2:EL22)</f>
        <v>92.375</v>
      </c>
      <c r="EM25" s="83">
        <f t="shared" si="131"/>
        <v>0.35000000000000142</v>
      </c>
      <c r="EN25" s="83">
        <f t="shared" si="131"/>
        <v>3.38</v>
      </c>
      <c r="EO25" s="83">
        <f t="shared" si="131"/>
        <v>3.2</v>
      </c>
      <c r="EP25" s="83">
        <f t="shared" si="131"/>
        <v>13.035</v>
      </c>
      <c r="EQ25" s="84">
        <f t="shared" si="131"/>
        <v>-1.8261890116193518</v>
      </c>
      <c r="ER25" s="84">
        <f t="shared" si="131"/>
        <v>0.65707005623242742</v>
      </c>
      <c r="ES25" s="83">
        <f t="shared" si="131"/>
        <v>3.7242857142857142</v>
      </c>
      <c r="ET25" s="83">
        <f t="shared" si="131"/>
        <v>4.7752722537878789</v>
      </c>
      <c r="EU25" s="85">
        <f t="shared" si="131"/>
        <v>1.335</v>
      </c>
      <c r="EV25" s="86">
        <f t="shared" si="131"/>
        <v>90</v>
      </c>
      <c r="EW25" s="86">
        <f t="shared" si="131"/>
        <v>10</v>
      </c>
      <c r="EX25" s="86">
        <f t="shared" si="131"/>
        <v>544.5</v>
      </c>
      <c r="EY25" s="86">
        <f t="shared" si="131"/>
        <v>41</v>
      </c>
      <c r="EZ25" s="83">
        <f t="shared" si="131"/>
        <v>9.6999999999999993</v>
      </c>
      <c r="FA25" s="83">
        <f t="shared" si="131"/>
        <v>-1.499999999999968E-2</v>
      </c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86">
        <f t="shared" ref="HF25:HL25" si="132">MEDIAN(HF2:HF22)</f>
        <v>11</v>
      </c>
      <c r="HG25" s="86">
        <f t="shared" si="132"/>
        <v>14</v>
      </c>
      <c r="HH25" s="86">
        <f t="shared" si="132"/>
        <v>13</v>
      </c>
      <c r="HI25" s="86">
        <f t="shared" si="132"/>
        <v>5</v>
      </c>
      <c r="HJ25" s="86">
        <f t="shared" si="132"/>
        <v>1</v>
      </c>
      <c r="HK25" s="86">
        <f t="shared" si="132"/>
        <v>4</v>
      </c>
      <c r="HL25" s="86">
        <f t="shared" si="132"/>
        <v>3.1111111111111112</v>
      </c>
      <c r="HM25" s="52"/>
      <c r="HN25" s="52"/>
      <c r="HO25" s="52"/>
      <c r="HP25" s="52"/>
      <c r="HQ25" s="52"/>
      <c r="HR25" s="59"/>
      <c r="HS25" s="86">
        <f t="shared" ref="HS25:HX25" si="133">MEDIAN(HS2:HS22)</f>
        <v>4115</v>
      </c>
      <c r="HT25" s="83">
        <f t="shared" si="133"/>
        <v>20</v>
      </c>
      <c r="HU25" s="83">
        <f t="shared" si="133"/>
        <v>3.1</v>
      </c>
      <c r="HV25" s="83">
        <f t="shared" si="133"/>
        <v>1</v>
      </c>
      <c r="HW25" s="83">
        <f t="shared" si="133"/>
        <v>32</v>
      </c>
      <c r="HX25" s="86">
        <f t="shared" si="133"/>
        <v>2998.8</v>
      </c>
    </row>
    <row r="26" spans="1:232" s="39" customFormat="1" x14ac:dyDescent="0.35">
      <c r="A26" s="35" t="s">
        <v>149</v>
      </c>
      <c r="B26" s="35"/>
      <c r="C26" s="35"/>
      <c r="D26" s="35"/>
      <c r="E26" s="35"/>
      <c r="F26" s="38">
        <f t="shared" ref="F26:P26" si="134">MIN(F2:F22)</f>
        <v>48</v>
      </c>
      <c r="G26" s="96">
        <f t="shared" si="134"/>
        <v>1.65</v>
      </c>
      <c r="H26" s="36">
        <f t="shared" si="134"/>
        <v>70.599999999999994</v>
      </c>
      <c r="I26" s="36">
        <f t="shared" si="134"/>
        <v>24.815843497162177</v>
      </c>
      <c r="J26" s="36">
        <f t="shared" si="134"/>
        <v>2.91</v>
      </c>
      <c r="K26" s="36">
        <f t="shared" si="134"/>
        <v>2.21</v>
      </c>
      <c r="L26" s="36">
        <f t="shared" si="134"/>
        <v>12.9</v>
      </c>
      <c r="M26" s="37">
        <f t="shared" si="134"/>
        <v>0.42511013215859034</v>
      </c>
      <c r="N26" s="37">
        <f t="shared" si="134"/>
        <v>0.28325991189427313</v>
      </c>
      <c r="O26" s="37">
        <f t="shared" si="134"/>
        <v>0.5</v>
      </c>
      <c r="P26" s="37">
        <f t="shared" si="134"/>
        <v>0.73233166388425164</v>
      </c>
      <c r="Q26" s="37">
        <f t="shared" ref="Q26:R26" si="135">MIN(Q2:Q22)</f>
        <v>0.34814814814814821</v>
      </c>
      <c r="R26" s="37">
        <f t="shared" si="135"/>
        <v>0.65374331550802134</v>
      </c>
      <c r="S26" s="72">
        <f t="shared" ref="S26:AH26" si="136">MIN(S2:S22)</f>
        <v>8.8000000000000007</v>
      </c>
      <c r="T26" s="73">
        <f t="shared" si="136"/>
        <v>9.7680000000000025</v>
      </c>
      <c r="U26" s="72">
        <f t="shared" si="136"/>
        <v>2.5142857142857147</v>
      </c>
      <c r="V26" s="72">
        <f t="shared" si="136"/>
        <v>2.7890173410404624</v>
      </c>
      <c r="W26" s="74">
        <f t="shared" si="136"/>
        <v>0.99</v>
      </c>
      <c r="X26" s="75">
        <f t="shared" si="136"/>
        <v>50</v>
      </c>
      <c r="Y26" s="75">
        <f t="shared" si="136"/>
        <v>310</v>
      </c>
      <c r="Z26" s="72">
        <f t="shared" si="136"/>
        <v>6.1</v>
      </c>
      <c r="AA26" s="72">
        <f>MIN(AA2:AA22)</f>
        <v>6.7709999999999999</v>
      </c>
      <c r="AB26" s="75">
        <f t="shared" si="136"/>
        <v>10</v>
      </c>
      <c r="AC26" s="75">
        <f t="shared" si="136"/>
        <v>80</v>
      </c>
      <c r="AD26" s="72">
        <f t="shared" si="136"/>
        <v>7.1</v>
      </c>
      <c r="AE26" s="72">
        <f>MIN(AE2:AE22)</f>
        <v>7.8810000000000002</v>
      </c>
      <c r="AF26" s="75">
        <f t="shared" si="136"/>
        <v>30</v>
      </c>
      <c r="AG26" s="75">
        <f t="shared" si="136"/>
        <v>190</v>
      </c>
      <c r="AH26" s="72">
        <f t="shared" si="136"/>
        <v>25.11</v>
      </c>
      <c r="AI26" s="75"/>
      <c r="AJ26" s="75">
        <f>MIN(AJ2:AJ22)</f>
        <v>54</v>
      </c>
      <c r="AK26" s="75">
        <f>MIN(AK2:AK22)</f>
        <v>69</v>
      </c>
      <c r="AL26" s="75">
        <f>MIN(AL2:AL22)</f>
        <v>81</v>
      </c>
      <c r="AM26" s="75">
        <f>MIN(AM2:AM22)</f>
        <v>81</v>
      </c>
      <c r="AN26" s="41">
        <f>MIN(AN2:AN22)</f>
        <v>85.05</v>
      </c>
      <c r="AO26" s="77">
        <f t="shared" ref="AO26:AY26" si="137">MIN(AO2:AO22)</f>
        <v>2.21</v>
      </c>
      <c r="AP26" s="77">
        <f t="shared" si="137"/>
        <v>3.0748875977845785E-3</v>
      </c>
      <c r="AQ26" s="79">
        <f t="shared" si="137"/>
        <v>0.84863661658319423</v>
      </c>
      <c r="AR26" s="80">
        <f t="shared" si="137"/>
        <v>0.76453749241729207</v>
      </c>
      <c r="AS26" s="77">
        <f t="shared" si="137"/>
        <v>3.0714285714285716</v>
      </c>
      <c r="AT26" s="77">
        <f t="shared" si="137"/>
        <v>2.8493506493506495</v>
      </c>
      <c r="AU26" s="81">
        <f t="shared" si="137"/>
        <v>0.7</v>
      </c>
      <c r="AV26" s="77">
        <f t="shared" si="137"/>
        <v>8.75</v>
      </c>
      <c r="AW26" s="77">
        <f t="shared" si="137"/>
        <v>9.06</v>
      </c>
      <c r="AX26" s="77">
        <f>MIN(AX2:AX22)</f>
        <v>8.9499999999999993</v>
      </c>
      <c r="AY26" s="77">
        <f t="shared" si="137"/>
        <v>2.2195121951219514</v>
      </c>
      <c r="AZ26" s="77">
        <f t="shared" ref="AZ26:BE26" si="138">MIN(AZ2:AZ22)</f>
        <v>2.6184971098265897</v>
      </c>
      <c r="BA26" s="77">
        <f t="shared" si="138"/>
        <v>2.4573005029652428</v>
      </c>
      <c r="BB26" s="79">
        <f t="shared" si="138"/>
        <v>0.65909090909090906</v>
      </c>
      <c r="BC26" s="79">
        <f t="shared" si="138"/>
        <v>0.58806818181818177</v>
      </c>
      <c r="BD26" s="80">
        <f t="shared" si="138"/>
        <v>0.52979115479115468</v>
      </c>
      <c r="BE26" s="77">
        <f t="shared" si="138"/>
        <v>7.64</v>
      </c>
      <c r="BF26" s="77"/>
      <c r="BG26" s="79">
        <f>MIN(BG2:BG22)</f>
        <v>0.49170537491705379</v>
      </c>
      <c r="BH26" s="80">
        <f>MIN(BH2:BH22)</f>
        <v>0.57373400111296613</v>
      </c>
      <c r="BI26" s="80">
        <f>MIN(BI2:BI22)</f>
        <v>0.51687747848014964</v>
      </c>
      <c r="BJ26" s="80">
        <f>MIN(BJ2:BJ22)</f>
        <v>0.91158267020335981</v>
      </c>
      <c r="BK26" s="80">
        <f>MIN(BK2:BK22)</f>
        <v>0.82124564883185569</v>
      </c>
      <c r="BL26" s="80"/>
      <c r="BM26" s="80"/>
      <c r="BN26" s="77">
        <f>MIN(BN2:BN22)</f>
        <v>2.1828571428571428</v>
      </c>
      <c r="BO26" s="77">
        <f>MIN(BO2:BO22)</f>
        <v>2.447976878612717</v>
      </c>
      <c r="BP26" s="81">
        <f>MIN(BP2:BP22)</f>
        <v>0.83</v>
      </c>
      <c r="BQ26" s="77">
        <f>MIN(BQ2:BQ22)</f>
        <v>8.17</v>
      </c>
      <c r="BR26" s="77">
        <f t="shared" ref="BR26:BW26" si="139">MIN(BR2:BR22)</f>
        <v>7.11</v>
      </c>
      <c r="BS26" s="77">
        <f t="shared" si="139"/>
        <v>9.43</v>
      </c>
      <c r="BT26" s="77">
        <f t="shared" si="139"/>
        <v>5.22</v>
      </c>
      <c r="BU26" s="77">
        <f t="shared" si="139"/>
        <v>8.3099999999999987</v>
      </c>
      <c r="BV26" s="104">
        <f>MIN(BV2:BV22)</f>
        <v>0.4780189204229271</v>
      </c>
      <c r="BW26" s="77">
        <f t="shared" si="139"/>
        <v>6.5</v>
      </c>
      <c r="BX26" s="77">
        <f t="shared" ref="BX26:CL26" si="140">MIN(BX2:BX22)</f>
        <v>6.26</v>
      </c>
      <c r="BY26" s="77">
        <f t="shared" si="140"/>
        <v>12.22</v>
      </c>
      <c r="BZ26" s="77">
        <f t="shared" si="140"/>
        <v>10.8</v>
      </c>
      <c r="CA26" s="77">
        <f t="shared" si="140"/>
        <v>0.58006022797880097</v>
      </c>
      <c r="CB26" s="79">
        <f t="shared" ref="CB26:CC26" si="141">MIN(CB2:CB22)</f>
        <v>0.60601001669449084</v>
      </c>
      <c r="CC26" s="79">
        <f t="shared" si="141"/>
        <v>0.54595496999503679</v>
      </c>
      <c r="CD26" s="77">
        <f t="shared" si="140"/>
        <v>7.2050000000000001</v>
      </c>
      <c r="CE26" s="110"/>
      <c r="CF26" s="79">
        <f t="shared" si="140"/>
        <v>0.56844741235392326</v>
      </c>
      <c r="CG26" s="79">
        <f t="shared" si="140"/>
        <v>0.51211478590443527</v>
      </c>
      <c r="CH26" s="77">
        <f>MIN(CH2:CH22)</f>
        <v>3.8975403848120567</v>
      </c>
      <c r="CI26" s="77">
        <f t="shared" si="140"/>
        <v>8.1649999999999991</v>
      </c>
      <c r="CJ26" s="79">
        <f t="shared" ref="CJ26:CK26" si="142">MIN(CJ2:CJ22)</f>
        <v>0.45436839176405119</v>
      </c>
      <c r="CK26" s="79">
        <f t="shared" si="142"/>
        <v>0.40934089348112718</v>
      </c>
      <c r="CL26" s="77">
        <f t="shared" si="140"/>
        <v>4.62</v>
      </c>
      <c r="CM26" s="79">
        <f t="shared" ref="CM26:CN26" si="143">MIN(CM2:CM22)</f>
        <v>0.34557595993322204</v>
      </c>
      <c r="CN26" s="79">
        <f t="shared" si="143"/>
        <v>0.31132969363353336</v>
      </c>
      <c r="CO26" s="78">
        <f>MIN(CO2:CO22)</f>
        <v>52</v>
      </c>
      <c r="CP26" s="78">
        <f>MIN(CP2:CP22)</f>
        <v>0.15249955484500824</v>
      </c>
      <c r="CQ26" s="79">
        <f>MIN(CQ2:CQ22)</f>
        <v>0.8571428571428571</v>
      </c>
      <c r="CR26" s="78"/>
      <c r="CS26" s="78">
        <f t="shared" ref="CS26:DF26" si="144">MIN(CS2:CS22)</f>
        <v>66</v>
      </c>
      <c r="CT26" s="78">
        <f t="shared" si="144"/>
        <v>79</v>
      </c>
      <c r="CU26" s="78">
        <f t="shared" ref="CU26" si="145">MIN(CU2:CU22)</f>
        <v>4.0548224533200946E-3</v>
      </c>
      <c r="CV26" s="79">
        <f t="shared" si="144"/>
        <v>1.0404331615492358E-2</v>
      </c>
      <c r="CW26" s="79">
        <f t="shared" si="144"/>
        <v>0.6964285714285714</v>
      </c>
      <c r="CX26" s="79">
        <f t="shared" si="144"/>
        <v>0.66326530612244894</v>
      </c>
      <c r="CY26" s="78">
        <f t="shared" si="144"/>
        <v>81</v>
      </c>
      <c r="CZ26" s="79">
        <f t="shared" si="144"/>
        <v>0.25796185406124672</v>
      </c>
      <c r="DA26" s="79">
        <f t="shared" ref="DA26" si="146">MIN(DA2:DA22)</f>
        <v>0.72278911564625847</v>
      </c>
      <c r="DB26" s="78">
        <f t="shared" si="144"/>
        <v>88</v>
      </c>
      <c r="DC26" s="78">
        <f t="shared" si="144"/>
        <v>87</v>
      </c>
      <c r="DD26" s="78">
        <f t="shared" si="144"/>
        <v>97</v>
      </c>
      <c r="DE26" s="78">
        <f t="shared" si="144"/>
        <v>81</v>
      </c>
      <c r="DF26" s="78">
        <f t="shared" si="144"/>
        <v>84</v>
      </c>
      <c r="DG26" s="78">
        <f t="shared" ref="DG26:DO26" si="147">MIN(DG2:DG22)</f>
        <v>82</v>
      </c>
      <c r="DH26" s="78">
        <f t="shared" si="147"/>
        <v>76</v>
      </c>
      <c r="DI26" s="104">
        <f>MIN(DI2:DI22)</f>
        <v>0.59210526315789469</v>
      </c>
      <c r="DJ26" s="78">
        <f t="shared" si="147"/>
        <v>69</v>
      </c>
      <c r="DK26" s="78">
        <f t="shared" si="147"/>
        <v>74</v>
      </c>
      <c r="DL26" s="78">
        <f t="shared" si="147"/>
        <v>77.333333333333329</v>
      </c>
      <c r="DM26" s="78">
        <f t="shared" si="147"/>
        <v>0.3956378890200738</v>
      </c>
      <c r="DN26" s="78"/>
      <c r="DO26" s="78">
        <f t="shared" si="147"/>
        <v>0.65816084603435565</v>
      </c>
      <c r="DP26" s="79">
        <f>MIN(DP2:DP22)</f>
        <v>0.81209677419354842</v>
      </c>
      <c r="DQ26" s="79">
        <f>MIN(DQ2:DQ22)</f>
        <v>0.77342549923195081</v>
      </c>
      <c r="DR26" s="79">
        <f t="shared" ref="DR26:DY26" si="148">MIN(DR2:DR22)</f>
        <v>0.64802631578947367</v>
      </c>
      <c r="DS26" s="79">
        <f>MIN(DS2:DS22)</f>
        <v>0.61716791979949881</v>
      </c>
      <c r="DT26" s="79">
        <f t="shared" si="148"/>
        <v>0.75</v>
      </c>
      <c r="DU26" s="79">
        <f>MIN(DU2:DU22)</f>
        <v>0.7142857142857143</v>
      </c>
      <c r="DV26" s="78">
        <f t="shared" si="148"/>
        <v>0.96763695284010953</v>
      </c>
      <c r="DW26" s="79">
        <f t="shared" ref="DW26:DX26" si="149">MIN(DW2:DW22)</f>
        <v>0.57894736842105265</v>
      </c>
      <c r="DX26" s="79">
        <f t="shared" si="149"/>
        <v>0.55137844611528819</v>
      </c>
      <c r="DY26" s="82">
        <f t="shared" si="148"/>
        <v>2.7687861271676302</v>
      </c>
      <c r="DZ26" s="82">
        <f t="shared" ref="DZ26:EE26" si="150">MIN(DZ2:DZ22)</f>
        <v>2.2167630057803467</v>
      </c>
      <c r="EA26" s="82">
        <f t="shared" si="150"/>
        <v>2.7254335260115607</v>
      </c>
      <c r="EB26" s="82">
        <f t="shared" si="150"/>
        <v>2.3619909502262444</v>
      </c>
      <c r="EC26" s="82">
        <f t="shared" si="150"/>
        <v>2.6184971098265897</v>
      </c>
      <c r="ED26" s="82">
        <f t="shared" si="150"/>
        <v>2.9411764705882355</v>
      </c>
      <c r="EE26" s="82">
        <f t="shared" si="150"/>
        <v>2.8325791855203621</v>
      </c>
      <c r="EF26" s="82">
        <f t="shared" ref="EF26:EK26" si="151">MIN(EF2:EF22)</f>
        <v>3.9419354838709677</v>
      </c>
      <c r="EG26" s="82">
        <f t="shared" si="151"/>
        <v>3.7241379310344831</v>
      </c>
      <c r="EH26" s="82">
        <f t="shared" si="151"/>
        <v>2.4927745664739884</v>
      </c>
      <c r="EI26" s="82">
        <f t="shared" si="151"/>
        <v>2.6719653179190757</v>
      </c>
      <c r="EJ26" s="82">
        <f t="shared" si="151"/>
        <v>2.5578034682080926</v>
      </c>
      <c r="EK26" s="82">
        <f t="shared" si="151"/>
        <v>1.9002624671916011</v>
      </c>
      <c r="EL26" s="83">
        <f t="shared" ref="EL26:FA26" si="152">MIN(EL2:EL22)</f>
        <v>78.900000000000006</v>
      </c>
      <c r="EM26" s="83">
        <f t="shared" si="152"/>
        <v>-1.5</v>
      </c>
      <c r="EN26" s="83">
        <f t="shared" si="152"/>
        <v>2.56</v>
      </c>
      <c r="EO26" s="83">
        <f t="shared" si="152"/>
        <v>2.56</v>
      </c>
      <c r="EP26" s="83">
        <f t="shared" si="152"/>
        <v>9.41</v>
      </c>
      <c r="EQ26" s="84">
        <f t="shared" si="152"/>
        <v>-19.871794871794872</v>
      </c>
      <c r="ER26" s="84">
        <f t="shared" si="152"/>
        <v>0.41453744493392075</v>
      </c>
      <c r="ES26" s="83">
        <f t="shared" si="152"/>
        <v>2.6885714285714286</v>
      </c>
      <c r="ET26" s="83">
        <f t="shared" si="152"/>
        <v>2.7196531791907517</v>
      </c>
      <c r="EU26" s="85">
        <f t="shared" si="152"/>
        <v>1.1100000000000001</v>
      </c>
      <c r="EV26" s="86">
        <f t="shared" si="152"/>
        <v>60</v>
      </c>
      <c r="EW26" s="86">
        <f t="shared" si="152"/>
        <v>10</v>
      </c>
      <c r="EX26" s="86">
        <f t="shared" si="152"/>
        <v>330</v>
      </c>
      <c r="EY26" s="86">
        <f t="shared" si="152"/>
        <v>10</v>
      </c>
      <c r="EZ26" s="83">
        <f t="shared" si="152"/>
        <v>7.16</v>
      </c>
      <c r="FA26" s="83">
        <f t="shared" si="152"/>
        <v>-1.7000000000000011</v>
      </c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86">
        <f t="shared" ref="HF26:HL26" si="153">MIN(HF2:HF22)</f>
        <v>9</v>
      </c>
      <c r="HG26" s="86">
        <f t="shared" si="153"/>
        <v>13</v>
      </c>
      <c r="HH26" s="86">
        <f t="shared" si="153"/>
        <v>11.555555555555555</v>
      </c>
      <c r="HI26" s="86">
        <f t="shared" si="153"/>
        <v>0</v>
      </c>
      <c r="HJ26" s="86">
        <f t="shared" si="153"/>
        <v>-2</v>
      </c>
      <c r="HK26" s="86">
        <f t="shared" si="153"/>
        <v>0</v>
      </c>
      <c r="HL26" s="86">
        <f t="shared" si="153"/>
        <v>-2</v>
      </c>
      <c r="HM26" s="52"/>
      <c r="HN26" s="52"/>
      <c r="HO26" s="52"/>
      <c r="HP26" s="52"/>
      <c r="HQ26" s="52"/>
      <c r="HR26" s="52"/>
      <c r="HS26" s="86">
        <f t="shared" ref="HS26:HX26" si="154">MIN(HS2:HS22)</f>
        <v>1650</v>
      </c>
      <c r="HT26" s="83">
        <f t="shared" si="154"/>
        <v>16.7</v>
      </c>
      <c r="HU26" s="83">
        <f t="shared" si="154"/>
        <v>1.3</v>
      </c>
      <c r="HV26" s="83">
        <f t="shared" si="154"/>
        <v>0.41</v>
      </c>
      <c r="HW26" s="83">
        <f t="shared" si="154"/>
        <v>31.1</v>
      </c>
      <c r="HX26" s="86">
        <f t="shared" si="154"/>
        <v>2294.5</v>
      </c>
    </row>
    <row r="27" spans="1:232" s="12" customFormat="1" x14ac:dyDescent="0.35">
      <c r="A27" s="35" t="s">
        <v>150</v>
      </c>
      <c r="B27" s="35"/>
      <c r="C27" s="35"/>
      <c r="D27" s="35"/>
      <c r="E27"/>
      <c r="F27" s="38">
        <f t="shared" ref="F27:P27" si="155">MAX(F2:F22)</f>
        <v>84</v>
      </c>
      <c r="G27" s="36">
        <f t="shared" si="155"/>
        <v>1.87</v>
      </c>
      <c r="H27" s="36">
        <f t="shared" si="155"/>
        <v>118.3</v>
      </c>
      <c r="I27" s="36">
        <f t="shared" si="155"/>
        <v>39.649810708491081</v>
      </c>
      <c r="J27" s="36">
        <f t="shared" si="155"/>
        <v>4.9000000000000004</v>
      </c>
      <c r="K27" s="36">
        <f t="shared" si="155"/>
        <v>4.0999999999999996</v>
      </c>
      <c r="L27" s="36">
        <f t="shared" si="155"/>
        <v>30.4</v>
      </c>
      <c r="M27" s="37">
        <f t="shared" si="155"/>
        <v>1.2093023255813953</v>
      </c>
      <c r="N27" s="37">
        <f t="shared" si="155"/>
        <v>0.87596899224806202</v>
      </c>
      <c r="O27" s="37">
        <f t="shared" si="155"/>
        <v>0.8421052631578948</v>
      </c>
      <c r="P27" s="37">
        <f t="shared" si="155"/>
        <v>0.96517739816031534</v>
      </c>
      <c r="Q27" s="37">
        <f t="shared" ref="Q27:R27" si="156">MAX(Q2:Q22)</f>
        <v>0.80424143556280603</v>
      </c>
      <c r="R27" s="37">
        <f t="shared" si="156"/>
        <v>0.95462328767123272</v>
      </c>
      <c r="S27" s="72">
        <f t="shared" ref="S27:AH27" si="157">MAX(S2:S22)</f>
        <v>19.7</v>
      </c>
      <c r="T27" s="73">
        <f t="shared" si="157"/>
        <v>21.867000000000001</v>
      </c>
      <c r="U27" s="72">
        <f t="shared" si="157"/>
        <v>5.6285714285714281</v>
      </c>
      <c r="V27" s="74">
        <f t="shared" si="157"/>
        <v>6.1965517241379304</v>
      </c>
      <c r="W27" s="74">
        <f t="shared" si="157"/>
        <v>1.37</v>
      </c>
      <c r="X27" s="75">
        <f t="shared" si="157"/>
        <v>130</v>
      </c>
      <c r="Y27" s="75">
        <f t="shared" si="157"/>
        <v>788</v>
      </c>
      <c r="Z27" s="72">
        <f t="shared" si="157"/>
        <v>13.9</v>
      </c>
      <c r="AA27" s="72">
        <f>MAX(AA2:AA22)</f>
        <v>15.429000000000002</v>
      </c>
      <c r="AB27" s="75">
        <f t="shared" si="157"/>
        <v>60</v>
      </c>
      <c r="AC27" s="75">
        <f t="shared" si="157"/>
        <v>320</v>
      </c>
      <c r="AD27" s="72">
        <f t="shared" si="157"/>
        <v>16.399999999999999</v>
      </c>
      <c r="AE27" s="72">
        <f>MAX(AE2:AE22)</f>
        <v>18.204000000000001</v>
      </c>
      <c r="AF27" s="75">
        <f t="shared" si="157"/>
        <v>90</v>
      </c>
      <c r="AG27" s="75">
        <f t="shared" si="157"/>
        <v>540</v>
      </c>
      <c r="AH27" s="72">
        <f t="shared" si="157"/>
        <v>36.25</v>
      </c>
      <c r="AI27" s="75"/>
      <c r="AJ27" s="75">
        <f>MAX(AJ2:AJ22)</f>
        <v>104</v>
      </c>
      <c r="AK27" s="75">
        <f>MAX(AK2:AK22)</f>
        <v>126</v>
      </c>
      <c r="AL27" s="75">
        <f>MAX(AL2:AL22)</f>
        <v>143</v>
      </c>
      <c r="AM27" s="75">
        <f>MAX(AM2:AM22)</f>
        <v>155</v>
      </c>
      <c r="AN27" s="41">
        <f>MAX(AN2:AN22)</f>
        <v>162.75</v>
      </c>
      <c r="AO27" s="77">
        <f t="shared" ref="AO27:AY27" si="158">MAX(AO2:AO22)</f>
        <v>4.0999999999999996</v>
      </c>
      <c r="AP27" s="77">
        <f t="shared" si="158"/>
        <v>21.5</v>
      </c>
      <c r="AQ27" s="79">
        <f t="shared" si="158"/>
        <v>1.4545454545454546</v>
      </c>
      <c r="AR27" s="80">
        <f t="shared" si="158"/>
        <v>1.3104013104013101</v>
      </c>
      <c r="AS27" s="77">
        <f t="shared" si="158"/>
        <v>6.1428571428571432</v>
      </c>
      <c r="AT27" s="77">
        <f t="shared" si="158"/>
        <v>6.9230769230769225</v>
      </c>
      <c r="AU27" s="81">
        <f t="shared" si="158"/>
        <v>1.1299999999999999</v>
      </c>
      <c r="AV27" s="77">
        <f t="shared" si="158"/>
        <v>17.5</v>
      </c>
      <c r="AW27" s="77">
        <f t="shared" si="158"/>
        <v>18.100000000000001</v>
      </c>
      <c r="AX27" s="77">
        <f>MAX(AX2:AX22)</f>
        <v>17.8</v>
      </c>
      <c r="AY27" s="77">
        <f t="shared" si="158"/>
        <v>5</v>
      </c>
      <c r="AZ27" s="77">
        <f t="shared" ref="AZ27:BE27" si="159">MAX(AZ2:AZ22)</f>
        <v>5.6420233463035023</v>
      </c>
      <c r="BA27" s="77">
        <f t="shared" si="159"/>
        <v>5.2248578269979049</v>
      </c>
      <c r="BB27" s="79">
        <f t="shared" si="159"/>
        <v>1.3749999999999998</v>
      </c>
      <c r="BC27" s="79">
        <f t="shared" si="159"/>
        <v>1.3352272727272727</v>
      </c>
      <c r="BD27" s="80">
        <f t="shared" si="159"/>
        <v>1.2029074529074526</v>
      </c>
      <c r="BE27" s="77">
        <f t="shared" si="159"/>
        <v>15.8</v>
      </c>
      <c r="BF27" s="77"/>
      <c r="BG27" s="79">
        <f>MAX(BG2:BG22)</f>
        <v>1.4074702886247874</v>
      </c>
      <c r="BH27" s="80">
        <f>MAX(BH2:BH22)</f>
        <v>1.2727272727272725</v>
      </c>
      <c r="BI27" s="80">
        <f>MAX(BI2:BI22)</f>
        <v>1.1466011466011463</v>
      </c>
      <c r="BJ27" s="80">
        <f>MAX(BJ2:BJ22)</f>
        <v>1.8360655737704918</v>
      </c>
      <c r="BK27" s="80">
        <f>MAX(BK2:BK22)</f>
        <v>1.6541131295229654</v>
      </c>
      <c r="BL27" s="80"/>
      <c r="BM27" s="80"/>
      <c r="BN27" s="77">
        <f>MAX(BN2:BN22)</f>
        <v>4.5142857142857142</v>
      </c>
      <c r="BO27" s="77">
        <f>MAX(BO2:BO22)</f>
        <v>5.7198443579766538</v>
      </c>
      <c r="BP27" s="81">
        <f>MAX(BP2:BP22)</f>
        <v>1.1599999999999999</v>
      </c>
      <c r="BQ27" s="77">
        <f>MAX(BQ2:BQ22)</f>
        <v>15.7</v>
      </c>
      <c r="BR27" s="77">
        <f t="shared" ref="BR27:BW27" si="160">MAX(BR2:BR22)</f>
        <v>19</v>
      </c>
      <c r="BS27" s="77">
        <f t="shared" si="160"/>
        <v>15.9</v>
      </c>
      <c r="BT27" s="77">
        <f t="shared" si="160"/>
        <v>10.4</v>
      </c>
      <c r="BU27" s="77">
        <f t="shared" si="160"/>
        <v>16.100000000000001</v>
      </c>
      <c r="BV27" s="104">
        <f>MAX(BV2:BV22)</f>
        <v>1.2045454545454544</v>
      </c>
      <c r="BW27" s="77">
        <f t="shared" si="160"/>
        <v>16.899999999999999</v>
      </c>
      <c r="BX27" s="77">
        <f t="shared" ref="BX27:CL27" si="161">MAX(BX2:BX22)</f>
        <v>15.7</v>
      </c>
      <c r="BY27" s="77">
        <f t="shared" si="161"/>
        <v>16.899999999999999</v>
      </c>
      <c r="BZ27" s="77">
        <f t="shared" si="161"/>
        <v>10.8</v>
      </c>
      <c r="CA27" s="77">
        <f t="shared" si="161"/>
        <v>16.639999999999997</v>
      </c>
      <c r="CB27" s="79">
        <f t="shared" ref="CB27:CC27" si="162">MAX(CB2:CB22)</f>
        <v>1.3494318181818181</v>
      </c>
      <c r="CC27" s="79">
        <f t="shared" si="162"/>
        <v>1.2157043407043404</v>
      </c>
      <c r="CD27" s="77">
        <f t="shared" si="161"/>
        <v>16.100000000000001</v>
      </c>
      <c r="CE27" s="110"/>
      <c r="CF27" s="79">
        <f t="shared" si="161"/>
        <v>1.2159090909090908</v>
      </c>
      <c r="CG27" s="79">
        <f t="shared" si="161"/>
        <v>1.0954135954135951</v>
      </c>
      <c r="CH27" s="77">
        <f>MAX(CH2:CH22)</f>
        <v>8.1339710763394972</v>
      </c>
      <c r="CI27" s="77">
        <f t="shared" si="161"/>
        <v>15.75</v>
      </c>
      <c r="CJ27" s="79">
        <f t="shared" ref="CJ27:CK27" si="163">MAX(CJ2:CJ22)</f>
        <v>1.2642045454545454</v>
      </c>
      <c r="CK27" s="79">
        <f t="shared" si="163"/>
        <v>1.1389230139230135</v>
      </c>
      <c r="CL27" s="77">
        <f t="shared" si="161"/>
        <v>11.7</v>
      </c>
      <c r="CM27" s="79">
        <f t="shared" ref="CM27:CN27" si="164">MAX(CM2:CM22)</f>
        <v>1.0263157894736841</v>
      </c>
      <c r="CN27" s="79">
        <f t="shared" si="164"/>
        <v>0.9246088193456613</v>
      </c>
      <c r="CO27" s="78">
        <f>MAX(CO2:CO22)</f>
        <v>88</v>
      </c>
      <c r="CP27" s="78">
        <f>MAX(CP2:CP22)</f>
        <v>163</v>
      </c>
      <c r="CQ27" s="79">
        <f>MAX(CQ2:CQ22)</f>
        <v>1.3209876543209877</v>
      </c>
      <c r="CR27" s="78"/>
      <c r="CS27" s="78">
        <f t="shared" ref="CS27:DF27" si="165">MAX(CS2:CS22)</f>
        <v>117</v>
      </c>
      <c r="CT27" s="78">
        <f t="shared" si="165"/>
        <v>130</v>
      </c>
      <c r="CU27" s="78">
        <f t="shared" ref="CU27" si="166">MAX(CU2:CU22)</f>
        <v>123.5</v>
      </c>
      <c r="CV27" s="79">
        <f t="shared" si="165"/>
        <v>1</v>
      </c>
      <c r="CW27" s="79">
        <f t="shared" si="165"/>
        <v>0.9941860465116279</v>
      </c>
      <c r="CX27" s="79">
        <f t="shared" si="165"/>
        <v>0.94684385382059799</v>
      </c>
      <c r="CY27" s="78">
        <f t="shared" si="165"/>
        <v>136</v>
      </c>
      <c r="CZ27" s="79">
        <f t="shared" si="165"/>
        <v>1.076086956521739</v>
      </c>
      <c r="DA27" s="79">
        <f t="shared" ref="DA27" si="167">MAX(DA2:DA22)</f>
        <v>1.0248447204968942</v>
      </c>
      <c r="DB27" s="78">
        <f t="shared" si="165"/>
        <v>127</v>
      </c>
      <c r="DC27" s="78">
        <f t="shared" si="165"/>
        <v>134</v>
      </c>
      <c r="DD27" s="78">
        <f t="shared" si="165"/>
        <v>131</v>
      </c>
      <c r="DE27" s="78">
        <f t="shared" si="165"/>
        <v>81</v>
      </c>
      <c r="DF27" s="78">
        <f t="shared" si="165"/>
        <v>135</v>
      </c>
      <c r="DG27" s="78">
        <f t="shared" ref="DG27:DO27" si="168">MAX(DG2:DG22)</f>
        <v>84</v>
      </c>
      <c r="DH27" s="78">
        <f t="shared" si="168"/>
        <v>141</v>
      </c>
      <c r="DI27" s="104">
        <f>MAX(DI2:DI22)</f>
        <v>1.1304347826086956</v>
      </c>
      <c r="DJ27" s="78">
        <f t="shared" si="168"/>
        <v>142</v>
      </c>
      <c r="DK27" s="78">
        <f t="shared" si="168"/>
        <v>133</v>
      </c>
      <c r="DL27" s="78">
        <f t="shared" si="168"/>
        <v>133.19999999999999</v>
      </c>
      <c r="DM27" s="78">
        <f t="shared" si="168"/>
        <v>138</v>
      </c>
      <c r="DN27" s="78"/>
      <c r="DO27" s="78">
        <f t="shared" si="168"/>
        <v>142</v>
      </c>
      <c r="DP27" s="79">
        <f>MAX(DP2:DP22)</f>
        <v>1.0584239130434783</v>
      </c>
      <c r="DQ27" s="79">
        <f>MAX(DQ2:DQ22)</f>
        <v>1.0080227743271222</v>
      </c>
      <c r="DR27" s="79">
        <f t="shared" ref="DR27:DY27" si="169">MAX(DR2:DR22)</f>
        <v>1.1630434782608696</v>
      </c>
      <c r="DS27" s="79">
        <f>MAX(DS2:DS22)</f>
        <v>1.1076604554865424</v>
      </c>
      <c r="DT27" s="79">
        <f t="shared" si="169"/>
        <v>1.0815217391304348</v>
      </c>
      <c r="DU27" s="79">
        <f>MAX(DU2:DU22)</f>
        <v>1.0300207039337472</v>
      </c>
      <c r="DV27" s="78">
        <f t="shared" si="169"/>
        <v>133</v>
      </c>
      <c r="DW27" s="79">
        <f t="shared" ref="DW27:DX27" si="170">MAX(DW2:DW22)</f>
        <v>0.98198198198198194</v>
      </c>
      <c r="DX27" s="79">
        <f t="shared" si="170"/>
        <v>0.93522093522093508</v>
      </c>
      <c r="DY27" s="82">
        <f t="shared" si="169"/>
        <v>5.9143968871595334</v>
      </c>
      <c r="DZ27" s="82">
        <f t="shared" ref="DZ27:EE27" si="171">MAX(DZ2:DZ22)</f>
        <v>5.9922178988326857</v>
      </c>
      <c r="EA27" s="82">
        <f t="shared" si="171"/>
        <v>5.5925925925925917</v>
      </c>
      <c r="EB27" s="82">
        <f t="shared" si="171"/>
        <v>3.1231231231231233</v>
      </c>
      <c r="EC27" s="82">
        <f t="shared" si="171"/>
        <v>6.2645914396887168</v>
      </c>
      <c r="ED27" s="82">
        <f t="shared" si="171"/>
        <v>5.3061224489795915</v>
      </c>
      <c r="EE27" s="82">
        <f t="shared" si="171"/>
        <v>4.89453125</v>
      </c>
      <c r="EF27" s="82">
        <f t="shared" ref="EF27:EK27" si="172">MAX(EF2:EF22)</f>
        <v>5.1020408163265305</v>
      </c>
      <c r="EG27" s="82">
        <f t="shared" si="172"/>
        <v>3.7241379310344831</v>
      </c>
      <c r="EH27" s="82">
        <f t="shared" si="172"/>
        <v>5.3112840466926077</v>
      </c>
      <c r="EI27" s="82">
        <f t="shared" si="172"/>
        <v>6.2645914396887168</v>
      </c>
      <c r="EJ27" s="82">
        <f t="shared" si="172"/>
        <v>5.9922178988326857</v>
      </c>
      <c r="EK27" s="82">
        <f t="shared" si="172"/>
        <v>4.333333333333333</v>
      </c>
      <c r="EL27" s="83">
        <f t="shared" ref="EL27:FA27" si="173">MAX(EL2:EL22)</f>
        <v>100.5</v>
      </c>
      <c r="EM27" s="83">
        <f t="shared" si="173"/>
        <v>2.8499999999999943</v>
      </c>
      <c r="EN27" s="83">
        <f t="shared" si="173"/>
        <v>3.81</v>
      </c>
      <c r="EO27" s="83">
        <f t="shared" si="173"/>
        <v>3.81</v>
      </c>
      <c r="EP27" s="83">
        <f t="shared" si="173"/>
        <v>16.7</v>
      </c>
      <c r="EQ27" s="84">
        <f t="shared" si="173"/>
        <v>12.155809267965068</v>
      </c>
      <c r="ER27" s="84">
        <f t="shared" si="173"/>
        <v>1.01</v>
      </c>
      <c r="ES27" s="83">
        <f t="shared" si="173"/>
        <v>4.7714285714285714</v>
      </c>
      <c r="ET27" s="83">
        <f t="shared" si="173"/>
        <v>5.387096774193548</v>
      </c>
      <c r="EU27" s="85">
        <f t="shared" si="173"/>
        <v>1.37</v>
      </c>
      <c r="EV27" s="86">
        <f t="shared" si="173"/>
        <v>120</v>
      </c>
      <c r="EW27" s="86">
        <f t="shared" si="173"/>
        <v>20</v>
      </c>
      <c r="EX27" s="86">
        <f t="shared" si="173"/>
        <v>720</v>
      </c>
      <c r="EY27" s="86">
        <f t="shared" si="173"/>
        <v>103</v>
      </c>
      <c r="EZ27" s="83">
        <f t="shared" si="173"/>
        <v>11.5</v>
      </c>
      <c r="FA27" s="83">
        <f t="shared" si="173"/>
        <v>1.4100000000000001</v>
      </c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86">
        <f t="shared" ref="HF27:HL27" si="174">MAX(HF2:HF22)</f>
        <v>13</v>
      </c>
      <c r="HG27" s="86">
        <f t="shared" si="174"/>
        <v>17</v>
      </c>
      <c r="HH27" s="86">
        <f t="shared" si="174"/>
        <v>14</v>
      </c>
      <c r="HI27" s="86">
        <f t="shared" si="174"/>
        <v>5</v>
      </c>
      <c r="HJ27" s="86">
        <f t="shared" si="174"/>
        <v>5</v>
      </c>
      <c r="HK27" s="86">
        <f t="shared" si="174"/>
        <v>5</v>
      </c>
      <c r="HL27" s="86">
        <f t="shared" si="174"/>
        <v>5</v>
      </c>
      <c r="HM27" s="51"/>
      <c r="HN27" s="51"/>
      <c r="HO27" s="51"/>
      <c r="HP27" s="51"/>
      <c r="HQ27" s="51"/>
      <c r="HR27" s="51"/>
      <c r="HS27" s="86">
        <f t="shared" ref="HS27:HX27" si="175">MAX(HS2:HS22)</f>
        <v>8318</v>
      </c>
      <c r="HT27" s="83">
        <f t="shared" si="175"/>
        <v>21.6</v>
      </c>
      <c r="HU27" s="83">
        <f t="shared" si="175"/>
        <v>5.7</v>
      </c>
      <c r="HV27" s="83">
        <f t="shared" si="175"/>
        <v>1.73</v>
      </c>
      <c r="HW27" s="83">
        <f t="shared" si="175"/>
        <v>34</v>
      </c>
      <c r="HX27" s="86">
        <f t="shared" si="175"/>
        <v>3753.6</v>
      </c>
    </row>
    <row r="28" spans="1:232" s="12" customForma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 s="1"/>
      <c r="T28" s="32"/>
      <c r="U28" s="1"/>
      <c r="V28" s="5"/>
      <c r="W28" s="5"/>
      <c r="X28" s="76"/>
      <c r="Y28" s="76"/>
      <c r="Z28" s="1"/>
      <c r="AA28" s="1"/>
      <c r="AB28" s="76"/>
      <c r="AC28" s="76"/>
      <c r="AD28" s="1"/>
      <c r="AE28" s="1"/>
      <c r="AF28" s="76"/>
      <c r="AG28" s="76"/>
      <c r="AH28" s="1"/>
      <c r="AI28" s="1"/>
      <c r="AJ28" s="76"/>
      <c r="AK28" s="76"/>
      <c r="AL28" s="76"/>
      <c r="AM28" s="76"/>
      <c r="AN28" s="34"/>
      <c r="AO28" s="16"/>
      <c r="AP28" s="16"/>
      <c r="AQ28" s="16"/>
      <c r="AR28" s="32"/>
      <c r="AS28" s="16"/>
      <c r="AT28" s="18"/>
      <c r="AU28" s="19"/>
      <c r="AV28" s="18"/>
      <c r="AW28" s="18"/>
      <c r="AX28" s="18"/>
      <c r="AY28" s="18"/>
      <c r="AZ28" s="18"/>
      <c r="BA28" s="18"/>
      <c r="BB28" s="17"/>
      <c r="BC28" s="17"/>
      <c r="BD28" s="33"/>
      <c r="BE28" s="18"/>
      <c r="BF28" s="16"/>
      <c r="BG28" s="18"/>
      <c r="BH28" s="71"/>
      <c r="BI28" s="32"/>
      <c r="BJ28" s="32"/>
      <c r="BK28" s="32"/>
      <c r="BL28" s="32"/>
      <c r="BM28" s="32"/>
      <c r="BN28" s="18"/>
      <c r="BO28" s="18"/>
      <c r="BP28" s="19"/>
      <c r="BQ28" s="18"/>
      <c r="BR28" s="18"/>
      <c r="BS28" s="18"/>
      <c r="BT28" s="18"/>
      <c r="BU28" s="18"/>
      <c r="BV28" s="103"/>
      <c r="BW28" s="18"/>
      <c r="BX28" s="18"/>
      <c r="BY28" s="18"/>
      <c r="BZ28" s="18"/>
      <c r="CA28" s="18"/>
      <c r="CB28" s="18"/>
      <c r="CC28" s="18"/>
      <c r="CD28" s="18"/>
      <c r="CE28" s="109"/>
      <c r="CF28" s="18"/>
      <c r="CG28" s="18"/>
      <c r="CH28" s="18"/>
      <c r="CI28" s="18"/>
      <c r="CJ28" s="18"/>
      <c r="CK28" s="18"/>
      <c r="CL28" s="18"/>
      <c r="CM28" s="18"/>
      <c r="CN28" s="18"/>
      <c r="CO28" s="20"/>
      <c r="CP28" s="20"/>
      <c r="CQ28" s="17"/>
      <c r="CR28" s="16"/>
      <c r="CS28" s="20"/>
      <c r="CT28" s="20"/>
      <c r="CU28" s="20"/>
      <c r="CV28" s="17"/>
      <c r="CW28" s="17"/>
      <c r="CX28" s="17"/>
      <c r="CY28" s="20"/>
      <c r="CZ28" s="17"/>
      <c r="DA28" s="17"/>
      <c r="DB28" s="20"/>
      <c r="DC28" s="20"/>
      <c r="DD28" s="20"/>
      <c r="DE28" s="20"/>
      <c r="DF28" s="20"/>
      <c r="DG28" s="20"/>
      <c r="DH28" s="20"/>
      <c r="DI28" s="105"/>
      <c r="DJ28" s="20"/>
      <c r="DK28" s="20"/>
      <c r="DL28" s="20"/>
      <c r="DM28" s="20"/>
      <c r="DN28" s="20"/>
      <c r="DO28" s="20"/>
      <c r="DP28" s="17"/>
      <c r="DQ28" s="17"/>
      <c r="DR28" s="17"/>
      <c r="DS28" s="17"/>
      <c r="DT28" s="17"/>
      <c r="DU28" s="17"/>
      <c r="DV28" s="20"/>
      <c r="DW28" s="20"/>
      <c r="DX28" s="20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16"/>
      <c r="HG28" s="16"/>
      <c r="HH28" s="16"/>
      <c r="HI28" s="16"/>
      <c r="HJ28" s="16"/>
      <c r="HK28" s="16"/>
      <c r="HL28" s="16"/>
      <c r="HM28" s="51"/>
      <c r="HN28" s="51"/>
      <c r="HO28" s="51"/>
      <c r="HP28" s="51"/>
      <c r="HQ28" s="51"/>
      <c r="HR28" s="51"/>
      <c r="HS28" s="53"/>
      <c r="HT28"/>
      <c r="HU28"/>
      <c r="HV28"/>
    </row>
    <row r="29" spans="1:232" s="12" customFormat="1" x14ac:dyDescent="0.35">
      <c r="A29"/>
      <c r="B29"/>
      <c r="C29"/>
      <c r="D29"/>
      <c r="E29"/>
      <c r="F29"/>
      <c r="G29"/>
      <c r="H29" s="23"/>
      <c r="I29" s="23"/>
      <c r="J29" s="6"/>
      <c r="K29" s="6"/>
      <c r="L29" s="6"/>
      <c r="M29" s="6"/>
      <c r="N29" s="6"/>
      <c r="O29" s="6"/>
      <c r="P29" s="6"/>
      <c r="Q29" s="6"/>
      <c r="R29" s="6"/>
      <c r="S29" s="1"/>
      <c r="T29" s="32"/>
      <c r="U29" s="4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32"/>
      <c r="AO29" s="16"/>
      <c r="AP29" s="16"/>
      <c r="AQ29" s="16"/>
      <c r="AR29" s="32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32"/>
      <c r="BE29" s="16" t="s">
        <v>75</v>
      </c>
      <c r="BF29" s="16"/>
      <c r="BG29" s="16"/>
      <c r="BH29" s="32"/>
      <c r="BI29" s="32"/>
      <c r="BJ29" s="32"/>
      <c r="BK29" s="32"/>
      <c r="BL29" s="32"/>
      <c r="BM29" s="32"/>
      <c r="BN29" s="16" t="s">
        <v>75</v>
      </c>
      <c r="BO29" s="16"/>
      <c r="BP29" s="16"/>
      <c r="BQ29" s="16"/>
      <c r="BR29" s="16"/>
      <c r="BS29" s="16"/>
      <c r="BT29" s="16"/>
      <c r="BU29" s="16"/>
      <c r="BV29" s="56"/>
      <c r="BW29" s="16"/>
      <c r="BX29" s="16"/>
      <c r="BY29" s="16"/>
      <c r="BZ29" s="16"/>
      <c r="CA29" s="16"/>
      <c r="CB29" s="16"/>
      <c r="CC29" s="16"/>
      <c r="CD29" s="16"/>
      <c r="CE29" s="111"/>
      <c r="CF29" s="16"/>
      <c r="CG29" s="16"/>
      <c r="CH29" s="16"/>
      <c r="CI29" s="16"/>
      <c r="CJ29" s="16"/>
      <c r="CK29" s="16"/>
      <c r="CL29" s="16"/>
      <c r="CM29" s="16"/>
      <c r="CN29" s="16"/>
      <c r="CO29" s="20"/>
      <c r="CP29" s="20"/>
      <c r="CQ29" s="16"/>
      <c r="CR29" s="16"/>
      <c r="CS29" s="16"/>
      <c r="CT29" s="16"/>
      <c r="CU29" s="16"/>
      <c r="CV29" s="16"/>
      <c r="CW29" s="16"/>
      <c r="CX29" s="16"/>
      <c r="CY29" s="16" t="s">
        <v>75</v>
      </c>
      <c r="CZ29" s="16"/>
      <c r="DA29" s="16"/>
      <c r="DB29" s="16"/>
      <c r="DC29" s="16"/>
      <c r="DD29" s="16"/>
      <c r="DE29" s="16"/>
      <c r="DF29" s="16"/>
      <c r="DG29" s="16"/>
      <c r="DH29" s="16"/>
      <c r="DI29" s="5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16"/>
      <c r="HG29" s="16"/>
      <c r="HH29" s="16"/>
      <c r="HI29" s="16"/>
      <c r="HJ29" s="16"/>
      <c r="HK29" s="16"/>
      <c r="HL29" s="16"/>
      <c r="HM29" s="51"/>
      <c r="HN29" s="51"/>
      <c r="HO29" s="51"/>
      <c r="HP29" s="51"/>
      <c r="HQ29" s="51"/>
      <c r="HR29" s="51"/>
      <c r="HS29" s="53"/>
      <c r="HT29"/>
      <c r="HU29"/>
      <c r="HV29"/>
    </row>
    <row r="30" spans="1:232" s="12" customFormat="1" x14ac:dyDescent="0.35">
      <c r="A30"/>
      <c r="B30"/>
      <c r="C30" s="93" t="s">
        <v>248</v>
      </c>
      <c r="D30" s="93"/>
      <c r="E30" s="93"/>
      <c r="F30" s="93"/>
      <c r="G30" s="93"/>
      <c r="H30" s="23"/>
      <c r="I30" s="23"/>
      <c r="J30"/>
      <c r="K30"/>
      <c r="L30"/>
      <c r="M30"/>
      <c r="N30"/>
      <c r="O30"/>
      <c r="P30"/>
      <c r="Q30"/>
      <c r="R30"/>
      <c r="S30" s="1"/>
      <c r="T30" s="32"/>
      <c r="U30" s="4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32"/>
      <c r="AO30" s="16"/>
      <c r="AP30" s="16"/>
      <c r="AQ30" s="16"/>
      <c r="AR30" s="32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32"/>
      <c r="BE30" s="16"/>
      <c r="BF30" s="16"/>
      <c r="BG30" s="16"/>
      <c r="BH30" s="32"/>
      <c r="BI30" s="32"/>
      <c r="BJ30" s="32"/>
      <c r="BK30" s="32"/>
      <c r="BL30" s="32"/>
      <c r="BM30" s="32"/>
      <c r="BN30" s="16"/>
      <c r="BO30" s="16"/>
      <c r="BP30" s="16"/>
      <c r="BQ30" s="16"/>
      <c r="BR30" s="16"/>
      <c r="BS30" s="16"/>
      <c r="BT30" s="16"/>
      <c r="BU30" s="16"/>
      <c r="BV30" s="56"/>
      <c r="BW30" s="16"/>
      <c r="BX30" s="16"/>
      <c r="BY30" s="16"/>
      <c r="BZ30" s="16"/>
      <c r="CA30" s="16"/>
      <c r="CB30" s="16"/>
      <c r="CC30" s="16"/>
      <c r="CD30" s="16"/>
      <c r="CE30" s="111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5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16"/>
      <c r="HG30" s="16"/>
      <c r="HH30" s="16"/>
      <c r="HI30" s="16"/>
      <c r="HJ30" s="16"/>
      <c r="HK30" s="16"/>
      <c r="HL30" s="16"/>
      <c r="HM30" s="51"/>
      <c r="HN30" s="51"/>
      <c r="HO30" s="51"/>
      <c r="HP30" s="51"/>
      <c r="HQ30" s="51"/>
      <c r="HR30" s="51"/>
      <c r="HS30" s="54"/>
      <c r="HT30"/>
      <c r="HU30"/>
      <c r="HV30"/>
    </row>
    <row r="31" spans="1:232" s="12" customFormat="1" x14ac:dyDescent="0.35">
      <c r="A31" t="s">
        <v>266</v>
      </c>
      <c r="B31"/>
      <c r="C31"/>
      <c r="D31"/>
      <c r="E31"/>
      <c r="F31"/>
      <c r="G31"/>
      <c r="H31" s="23"/>
      <c r="I31" s="23"/>
      <c r="J31"/>
      <c r="K31"/>
      <c r="L31"/>
      <c r="M31"/>
      <c r="N31"/>
      <c r="O31"/>
      <c r="P31"/>
      <c r="Q31"/>
      <c r="R31"/>
      <c r="S31" s="1"/>
      <c r="T31" s="32"/>
      <c r="U31" s="4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32"/>
      <c r="AO31" s="16"/>
      <c r="AP31" s="16"/>
      <c r="AQ31" s="16"/>
      <c r="AR31" s="32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32"/>
      <c r="BE31" s="16"/>
      <c r="BF31" s="16"/>
      <c r="BG31" s="16"/>
      <c r="BH31" s="32"/>
      <c r="BI31" s="32"/>
      <c r="BJ31" s="32"/>
      <c r="BK31" s="32"/>
      <c r="BL31" s="32"/>
      <c r="BM31" s="32"/>
      <c r="BN31" s="16"/>
      <c r="BO31" s="16"/>
      <c r="BP31" s="16"/>
      <c r="BQ31" s="16"/>
      <c r="BR31" s="16"/>
      <c r="BS31" s="16"/>
      <c r="BT31" s="16"/>
      <c r="BU31" s="16"/>
      <c r="BV31" s="56"/>
      <c r="BW31" s="16"/>
      <c r="BX31" s="16"/>
      <c r="BY31" s="16"/>
      <c r="BZ31" s="16"/>
      <c r="CA31" s="16"/>
      <c r="CB31" s="16"/>
      <c r="CC31" s="16"/>
      <c r="CD31" s="16"/>
      <c r="CE31" s="111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5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16"/>
      <c r="HG31" s="16"/>
      <c r="HH31" s="16"/>
      <c r="HI31" s="16"/>
      <c r="HJ31" s="16"/>
      <c r="HK31" s="16"/>
      <c r="HL31" s="16"/>
      <c r="HM31" s="51"/>
      <c r="HN31" s="51"/>
      <c r="HO31" s="51"/>
      <c r="HP31" s="51"/>
      <c r="HQ31" s="51"/>
      <c r="HR31" s="51"/>
      <c r="HS31"/>
      <c r="HT31"/>
      <c r="HU31"/>
      <c r="HV31"/>
    </row>
    <row r="32" spans="1:232" s="12" customFormat="1" x14ac:dyDescent="0.35">
      <c r="A32" t="s">
        <v>267</v>
      </c>
      <c r="B32"/>
      <c r="C32">
        <f>PEARSON(S2:S16,AP2:AP16)</f>
        <v>0.78680059796384405</v>
      </c>
      <c r="D32"/>
      <c r="E32"/>
      <c r="F32"/>
      <c r="G32"/>
      <c r="H32" s="23"/>
      <c r="I32" s="23"/>
      <c r="J32"/>
      <c r="K32"/>
      <c r="L32"/>
      <c r="M32"/>
      <c r="N32"/>
      <c r="O32"/>
      <c r="P32"/>
      <c r="Q32"/>
      <c r="R32"/>
      <c r="S32" s="1"/>
      <c r="T32" s="32"/>
      <c r="U32" s="4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32"/>
      <c r="AO32" s="16"/>
      <c r="AP32" s="16"/>
      <c r="AQ32" s="16"/>
      <c r="AR32" s="32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32"/>
      <c r="BE32" s="16"/>
      <c r="BF32" s="16"/>
      <c r="BG32" s="16"/>
      <c r="BH32" s="32"/>
      <c r="BI32" s="32"/>
      <c r="BJ32" s="32"/>
      <c r="BK32" s="32"/>
      <c r="BL32" s="32"/>
      <c r="BM32" s="32"/>
      <c r="BN32" s="16"/>
      <c r="BO32" s="16"/>
      <c r="BP32" s="16"/>
      <c r="BQ32" s="16"/>
      <c r="BR32" s="16"/>
      <c r="BS32" s="16"/>
      <c r="BT32" s="16"/>
      <c r="BU32" s="16"/>
      <c r="BV32" s="56"/>
      <c r="BW32" s="16"/>
      <c r="BX32" s="16"/>
      <c r="BY32" s="16"/>
      <c r="BZ32" s="16"/>
      <c r="CA32" s="16"/>
      <c r="CB32" s="16"/>
      <c r="CC32" s="16"/>
      <c r="CD32" s="16"/>
      <c r="CE32" s="111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5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16"/>
      <c r="HG32" s="16"/>
      <c r="HH32" s="16"/>
      <c r="HI32" s="16"/>
      <c r="HJ32" s="16"/>
      <c r="HK32" s="16"/>
      <c r="HL32" s="16"/>
      <c r="HM32" s="51"/>
      <c r="HN32" s="51"/>
      <c r="HO32" s="51"/>
      <c r="HP32" s="51"/>
      <c r="HQ32" s="51"/>
      <c r="HR32" s="51"/>
      <c r="HS32"/>
      <c r="HT32"/>
      <c r="HU32"/>
      <c r="HV32"/>
    </row>
    <row r="33" spans="1:230" s="12" customFormat="1" x14ac:dyDescent="0.35">
      <c r="A33" t="s">
        <v>268</v>
      </c>
      <c r="B33"/>
      <c r="C33">
        <f>PEARSON(S2:S16,BE2:BE16)</f>
        <v>0.67200914689739644</v>
      </c>
      <c r="D33"/>
      <c r="E33"/>
      <c r="F33"/>
      <c r="G33"/>
      <c r="H33" s="23"/>
      <c r="I33" s="23"/>
      <c r="J33"/>
      <c r="K33"/>
      <c r="L33"/>
      <c r="M33"/>
      <c r="N33"/>
      <c r="O33"/>
      <c r="P33"/>
      <c r="Q33"/>
      <c r="R33"/>
      <c r="S33" s="1"/>
      <c r="T33" s="32"/>
      <c r="U33" s="4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32"/>
      <c r="AO33" s="16"/>
      <c r="AP33" s="16"/>
      <c r="AQ33" s="16"/>
      <c r="AR33" s="32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32"/>
      <c r="BE33" s="16"/>
      <c r="BF33" s="16"/>
      <c r="BG33" s="16"/>
      <c r="BH33" s="32"/>
      <c r="BI33" s="32"/>
      <c r="BJ33" s="32"/>
      <c r="BK33" s="32"/>
      <c r="BL33" s="32"/>
      <c r="BM33" s="32"/>
      <c r="BN33" s="16"/>
      <c r="BO33" s="16"/>
      <c r="BP33" s="16"/>
      <c r="BQ33" s="16"/>
      <c r="BR33" s="16"/>
      <c r="BS33" s="16"/>
      <c r="BT33" s="16"/>
      <c r="BU33" s="16"/>
      <c r="BV33" s="56"/>
      <c r="BW33" s="16"/>
      <c r="BX33" s="16"/>
      <c r="BY33" s="16"/>
      <c r="BZ33" s="16"/>
      <c r="CA33" s="16"/>
      <c r="CB33" s="16"/>
      <c r="CC33" s="16"/>
      <c r="CD33" s="16"/>
      <c r="CE33" s="111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5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16"/>
      <c r="HG33" s="16"/>
      <c r="HH33" s="16"/>
      <c r="HI33" s="16"/>
      <c r="HJ33" s="16"/>
      <c r="HK33" s="16"/>
      <c r="HL33" s="16"/>
      <c r="HM33" s="51"/>
      <c r="HN33" s="51"/>
      <c r="HO33" s="51"/>
      <c r="HP33" s="51"/>
      <c r="HQ33" s="51"/>
      <c r="HR33" s="51"/>
      <c r="HS33"/>
      <c r="HT33"/>
      <c r="HU33"/>
      <c r="HV33"/>
    </row>
    <row r="34" spans="1:230" s="12" customFormat="1" x14ac:dyDescent="0.35">
      <c r="A34"/>
      <c r="B34"/>
      <c r="C34"/>
      <c r="D34"/>
      <c r="E34"/>
      <c r="F34"/>
      <c r="G34"/>
      <c r="H34" s="23"/>
      <c r="I34" s="23"/>
      <c r="J34"/>
      <c r="K34"/>
      <c r="L34"/>
      <c r="M34"/>
      <c r="N34"/>
      <c r="O34"/>
      <c r="P34"/>
      <c r="Q34"/>
      <c r="R34"/>
      <c r="S34" s="1"/>
      <c r="T34" s="32"/>
      <c r="U34" s="4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32"/>
      <c r="AO34" s="16"/>
      <c r="AP34" s="16"/>
      <c r="AQ34" s="16"/>
      <c r="AR34" s="32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32"/>
      <c r="BE34" s="16"/>
      <c r="BF34" s="16"/>
      <c r="BG34" s="16"/>
      <c r="BH34" s="32"/>
      <c r="BI34" s="32"/>
      <c r="BJ34" s="32"/>
      <c r="BK34" s="32"/>
      <c r="BL34" s="32"/>
      <c r="BM34" s="32"/>
      <c r="BN34" s="16"/>
      <c r="BO34" s="16"/>
      <c r="BP34" s="16"/>
      <c r="BQ34" s="16"/>
      <c r="BR34" s="16"/>
      <c r="BS34" s="16"/>
      <c r="BT34" s="16"/>
      <c r="BU34" s="16"/>
      <c r="BV34" s="56"/>
      <c r="BW34" s="16"/>
      <c r="BX34" s="16"/>
      <c r="BY34" s="16"/>
      <c r="BZ34" s="16"/>
      <c r="CA34" s="16"/>
      <c r="CB34" s="16"/>
      <c r="CC34" s="16"/>
      <c r="CD34" s="16"/>
      <c r="CE34" s="111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5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16"/>
      <c r="HG34" s="16"/>
      <c r="HH34" s="16"/>
      <c r="HI34" s="16"/>
      <c r="HJ34" s="16"/>
      <c r="HK34" s="16"/>
      <c r="HL34" s="16"/>
      <c r="HM34" s="51"/>
      <c r="HN34" s="51"/>
      <c r="HO34" s="51"/>
      <c r="HP34" s="51"/>
      <c r="HQ34" s="51"/>
      <c r="HR34" s="51"/>
      <c r="HS34"/>
      <c r="HT34"/>
      <c r="HU34"/>
      <c r="HV34"/>
    </row>
    <row r="35" spans="1:230" s="12" customFormat="1" x14ac:dyDescent="0.35">
      <c r="A35"/>
      <c r="B35"/>
      <c r="C35"/>
      <c r="D35"/>
      <c r="E35"/>
      <c r="F35"/>
      <c r="G35"/>
      <c r="H35" s="23"/>
      <c r="I35" s="23"/>
      <c r="J35"/>
      <c r="K35"/>
      <c r="L35"/>
      <c r="M35"/>
      <c r="N35"/>
      <c r="O35"/>
      <c r="P35"/>
      <c r="Q35"/>
      <c r="R35"/>
      <c r="S35" s="1"/>
      <c r="T35" s="32"/>
      <c r="U35" s="4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32"/>
      <c r="AO35" s="16"/>
      <c r="AP35" s="16"/>
      <c r="AQ35" s="16"/>
      <c r="AR35" s="32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32"/>
      <c r="BE35" s="16"/>
      <c r="BF35" s="16"/>
      <c r="BG35" s="16"/>
      <c r="BH35" s="32"/>
      <c r="BI35" s="32"/>
      <c r="BJ35" s="32"/>
      <c r="BK35" s="32"/>
      <c r="BL35" s="32"/>
      <c r="BM35" s="32"/>
      <c r="BN35" s="16"/>
      <c r="BO35" s="16"/>
      <c r="BP35" s="16"/>
      <c r="BQ35" s="16"/>
      <c r="BR35" s="16"/>
      <c r="BS35" s="16"/>
      <c r="BT35" s="16"/>
      <c r="BU35" s="16"/>
      <c r="BV35" s="56"/>
      <c r="BW35" s="16"/>
      <c r="BX35" s="16"/>
      <c r="BY35" s="16"/>
      <c r="BZ35" s="16"/>
      <c r="CA35" s="16"/>
      <c r="CB35" s="16"/>
      <c r="CC35" s="16"/>
      <c r="CD35" s="16"/>
      <c r="CE35" s="111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5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16"/>
      <c r="HG35" s="16"/>
      <c r="HH35" s="16"/>
      <c r="HI35" s="16"/>
      <c r="HJ35" s="16"/>
      <c r="HK35" s="16"/>
      <c r="HL35" s="16"/>
      <c r="HM35" s="51"/>
      <c r="HN35" s="51"/>
      <c r="HO35" s="51"/>
      <c r="HP35" s="51"/>
      <c r="HQ35" s="51"/>
      <c r="HR35" s="51"/>
      <c r="HS35"/>
      <c r="HT35"/>
      <c r="HU35"/>
      <c r="HV35"/>
    </row>
    <row r="36" spans="1:230" s="12" customFormat="1" x14ac:dyDescent="0.35">
      <c r="A36"/>
      <c r="B36"/>
      <c r="C36"/>
      <c r="D36"/>
      <c r="E36"/>
      <c r="F36"/>
      <c r="G36"/>
      <c r="H36" s="23"/>
      <c r="I36" s="23"/>
      <c r="J36"/>
      <c r="K36"/>
      <c r="L36"/>
      <c r="M36"/>
      <c r="N36"/>
      <c r="O36"/>
      <c r="P36"/>
      <c r="Q36"/>
      <c r="R36"/>
      <c r="S36" s="1"/>
      <c r="T36" s="32"/>
      <c r="U36" s="4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32"/>
      <c r="AO36" s="16"/>
      <c r="AP36" s="16"/>
      <c r="AQ36" s="16"/>
      <c r="AR36" s="32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32"/>
      <c r="BE36" s="16"/>
      <c r="BF36" s="16"/>
      <c r="BG36" s="16"/>
      <c r="BH36" s="32"/>
      <c r="BI36" s="32"/>
      <c r="BJ36" s="32"/>
      <c r="BK36" s="32"/>
      <c r="BL36" s="32"/>
      <c r="BM36" s="32"/>
      <c r="BN36" s="16"/>
      <c r="BO36" s="16"/>
      <c r="BP36" s="16"/>
      <c r="BQ36" s="16"/>
      <c r="BR36" s="16"/>
      <c r="BS36" s="16"/>
      <c r="BT36" s="16"/>
      <c r="BU36" s="16"/>
      <c r="BV36" s="56"/>
      <c r="BW36" s="16"/>
      <c r="BX36" s="16"/>
      <c r="BY36" s="16"/>
      <c r="BZ36" s="16"/>
      <c r="CA36" s="16"/>
      <c r="CB36" s="16"/>
      <c r="CC36" s="16"/>
      <c r="CD36" s="16"/>
      <c r="CE36" s="111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5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16"/>
      <c r="HG36" s="16"/>
      <c r="HH36" s="16"/>
      <c r="HI36" s="16"/>
      <c r="HJ36" s="16"/>
      <c r="HK36" s="16"/>
      <c r="HL36" s="16"/>
      <c r="HM36" s="51"/>
      <c r="HN36" s="51"/>
      <c r="HO36" s="51"/>
      <c r="HP36" s="51"/>
      <c r="HQ36" s="51"/>
      <c r="HR36" s="51"/>
      <c r="HS36"/>
      <c r="HT36"/>
      <c r="HU36"/>
      <c r="HV36"/>
    </row>
    <row r="37" spans="1:230" s="12" customFormat="1" x14ac:dyDescent="0.35">
      <c r="A37"/>
      <c r="B37"/>
      <c r="C37"/>
      <c r="D37"/>
      <c r="E37"/>
      <c r="F37"/>
      <c r="G37"/>
      <c r="H37" s="23"/>
      <c r="I37" s="23"/>
      <c r="J37"/>
      <c r="K37"/>
      <c r="L37"/>
      <c r="M37"/>
      <c r="N37"/>
      <c r="O37"/>
      <c r="P37"/>
      <c r="Q37"/>
      <c r="R37"/>
      <c r="S37" s="1"/>
      <c r="T37" s="32"/>
      <c r="U37" s="4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32"/>
      <c r="AO37" s="16"/>
      <c r="AP37" s="16"/>
      <c r="AQ37" s="16"/>
      <c r="AR37" s="32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32"/>
      <c r="BE37" s="16"/>
      <c r="BF37" s="16"/>
      <c r="BG37" s="16"/>
      <c r="BH37" s="32"/>
      <c r="BI37" s="32"/>
      <c r="BJ37" s="32"/>
      <c r="BK37" s="32"/>
      <c r="BL37" s="32"/>
      <c r="BM37" s="32"/>
      <c r="BN37" s="16"/>
      <c r="BO37" s="16"/>
      <c r="BP37" s="16"/>
      <c r="BQ37" s="16"/>
      <c r="BR37" s="16"/>
      <c r="BS37" s="16"/>
      <c r="BT37" s="16"/>
      <c r="BU37" s="16"/>
      <c r="BV37" s="56"/>
      <c r="BW37" s="16"/>
      <c r="BX37" s="16"/>
      <c r="BY37" s="16"/>
      <c r="BZ37" s="16"/>
      <c r="CA37" s="16"/>
      <c r="CB37" s="16"/>
      <c r="CC37" s="16"/>
      <c r="CD37" s="16"/>
      <c r="CE37" s="111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5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16"/>
      <c r="HG37" s="16"/>
      <c r="HH37" s="16"/>
      <c r="HI37" s="16"/>
      <c r="HJ37" s="16"/>
      <c r="HK37" s="16"/>
      <c r="HL37" s="16"/>
      <c r="HM37" s="51"/>
      <c r="HN37" s="51"/>
      <c r="HO37" s="51"/>
      <c r="HP37" s="51"/>
      <c r="HQ37" s="51"/>
      <c r="HR37" s="51"/>
      <c r="HS37"/>
      <c r="HT37"/>
      <c r="HU37"/>
      <c r="HV37"/>
    </row>
    <row r="38" spans="1:230" s="12" customFormat="1" x14ac:dyDescent="0.35">
      <c r="A38"/>
      <c r="B38"/>
      <c r="C38"/>
      <c r="D38"/>
      <c r="E38"/>
      <c r="F38"/>
      <c r="G38"/>
      <c r="H38" s="23"/>
      <c r="I38" s="23"/>
      <c r="J38"/>
      <c r="K38"/>
      <c r="L38"/>
      <c r="M38"/>
      <c r="N38"/>
      <c r="O38"/>
      <c r="P38"/>
      <c r="Q38"/>
      <c r="R38"/>
      <c r="S38" s="1"/>
      <c r="T38" s="32"/>
      <c r="U38" s="4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32"/>
      <c r="AO38" s="16"/>
      <c r="AP38" s="16"/>
      <c r="AQ38" s="16"/>
      <c r="AR38" s="32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32"/>
      <c r="BE38" s="16"/>
      <c r="BF38" s="16"/>
      <c r="BG38" s="16"/>
      <c r="BH38" s="32"/>
      <c r="BI38" s="32"/>
      <c r="BJ38" s="32"/>
      <c r="BK38" s="32"/>
      <c r="BL38" s="32"/>
      <c r="BM38" s="32"/>
      <c r="BN38" s="16"/>
      <c r="BO38" s="16"/>
      <c r="BP38" s="16"/>
      <c r="BQ38" s="16"/>
      <c r="BR38" s="16"/>
      <c r="BS38" s="16"/>
      <c r="BT38" s="16"/>
      <c r="BU38" s="16"/>
      <c r="BV38" s="56"/>
      <c r="BW38" s="16"/>
      <c r="BX38" s="16"/>
      <c r="BY38" s="16"/>
      <c r="BZ38" s="16"/>
      <c r="CA38" s="16"/>
      <c r="CB38" s="16"/>
      <c r="CC38" s="16"/>
      <c r="CD38" s="16"/>
      <c r="CE38" s="111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5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16"/>
      <c r="HG38" s="16"/>
      <c r="HH38" s="16"/>
      <c r="HI38" s="16"/>
      <c r="HJ38" s="16"/>
      <c r="HK38" s="16"/>
      <c r="HL38" s="16"/>
      <c r="HM38" s="51"/>
      <c r="HN38" s="51"/>
      <c r="HO38" s="51"/>
      <c r="HP38" s="51"/>
      <c r="HQ38" s="51"/>
      <c r="HR38" s="51"/>
      <c r="HS38"/>
      <c r="HT38"/>
      <c r="HU38"/>
      <c r="HV38"/>
    </row>
    <row r="39" spans="1:230" s="1" customFormat="1" x14ac:dyDescent="0.35">
      <c r="A39"/>
      <c r="B39"/>
      <c r="C39"/>
      <c r="D39"/>
      <c r="E39"/>
      <c r="F39"/>
      <c r="G39"/>
      <c r="H39" s="23"/>
      <c r="I39" s="23"/>
      <c r="J39"/>
      <c r="K39"/>
      <c r="L39"/>
      <c r="M39"/>
      <c r="N39"/>
      <c r="O39"/>
      <c r="P39"/>
      <c r="Q39"/>
      <c r="R39"/>
      <c r="T39" s="32"/>
      <c r="U39" s="4"/>
      <c r="AN39" s="32"/>
      <c r="AO39" s="16"/>
      <c r="AP39" s="16"/>
      <c r="AQ39" s="16"/>
      <c r="AR39" s="32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32"/>
      <c r="BE39" s="16"/>
      <c r="BF39" s="16"/>
      <c r="BG39" s="16"/>
      <c r="BH39" s="32"/>
      <c r="BI39" s="32"/>
      <c r="BJ39" s="32"/>
      <c r="BK39" s="32"/>
      <c r="BL39" s="32"/>
      <c r="BM39" s="32"/>
      <c r="BN39" s="16"/>
      <c r="BO39" s="16"/>
      <c r="BP39" s="16"/>
      <c r="BQ39" s="16"/>
      <c r="BR39" s="16"/>
      <c r="BS39" s="16"/>
      <c r="BT39" s="16"/>
      <c r="BU39" s="16"/>
      <c r="BV39" s="56"/>
      <c r="BW39" s="16"/>
      <c r="BX39" s="16"/>
      <c r="BY39" s="16"/>
      <c r="BZ39" s="16"/>
      <c r="CA39" s="16"/>
      <c r="CB39" s="16"/>
      <c r="CC39" s="16"/>
      <c r="CD39" s="16"/>
      <c r="CE39" s="111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5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16"/>
      <c r="HG39" s="16"/>
      <c r="HH39" s="16"/>
      <c r="HI39" s="16"/>
      <c r="HJ39" s="16"/>
      <c r="HK39" s="16"/>
      <c r="HL39" s="16"/>
      <c r="HM39" s="51"/>
      <c r="HN39" s="51"/>
      <c r="HO39" s="51"/>
      <c r="HP39" s="51"/>
      <c r="HQ39" s="51"/>
      <c r="HR39" s="51"/>
      <c r="HS39"/>
      <c r="HT39"/>
      <c r="HU39"/>
      <c r="HV39"/>
    </row>
    <row r="40" spans="1:230" s="1" customFormat="1" x14ac:dyDescent="0.35">
      <c r="A40"/>
      <c r="B40"/>
      <c r="C40"/>
      <c r="D40"/>
      <c r="E40"/>
      <c r="F40"/>
      <c r="G40"/>
      <c r="H40" s="23"/>
      <c r="I40" s="23"/>
      <c r="J40"/>
      <c r="K40"/>
      <c r="L40"/>
      <c r="M40"/>
      <c r="N40"/>
      <c r="O40"/>
      <c r="P40"/>
      <c r="Q40"/>
      <c r="R40"/>
      <c r="T40" s="32"/>
      <c r="U40" s="4"/>
      <c r="AN40" s="32"/>
      <c r="AO40" s="16"/>
      <c r="AP40" s="16"/>
      <c r="AQ40" s="16"/>
      <c r="AR40" s="32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32"/>
      <c r="BE40" s="16"/>
      <c r="BF40" s="16"/>
      <c r="BG40" s="16"/>
      <c r="BH40" s="32"/>
      <c r="BI40" s="32"/>
      <c r="BJ40" s="32"/>
      <c r="BK40" s="32"/>
      <c r="BL40" s="32"/>
      <c r="BM40" s="32"/>
      <c r="BN40" s="16"/>
      <c r="BO40" s="16"/>
      <c r="BP40" s="16"/>
      <c r="BQ40" s="16"/>
      <c r="BR40" s="16"/>
      <c r="BS40" s="16"/>
      <c r="BT40" s="16"/>
      <c r="BU40" s="16"/>
      <c r="BV40" s="56"/>
      <c r="BW40" s="16"/>
      <c r="BX40" s="16"/>
      <c r="BY40" s="16"/>
      <c r="BZ40" s="16"/>
      <c r="CA40" s="16"/>
      <c r="CB40" s="16"/>
      <c r="CC40" s="16"/>
      <c r="CD40" s="16"/>
      <c r="CE40" s="111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5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16"/>
      <c r="HG40" s="16"/>
      <c r="HH40" s="16"/>
      <c r="HI40" s="16"/>
      <c r="HJ40" s="16"/>
      <c r="HK40" s="16"/>
      <c r="HL40" s="16"/>
      <c r="HM40" s="51"/>
      <c r="HN40" s="51"/>
      <c r="HO40" s="51"/>
      <c r="HP40" s="51"/>
      <c r="HQ40" s="51"/>
      <c r="HR40" s="51"/>
      <c r="HS40"/>
      <c r="HT40"/>
      <c r="HU40"/>
      <c r="HV40"/>
    </row>
    <row r="41" spans="1:230" s="1" customFormat="1" x14ac:dyDescent="0.35">
      <c r="A41"/>
      <c r="B41"/>
      <c r="C41"/>
      <c r="D41"/>
      <c r="E41"/>
      <c r="F41"/>
      <c r="G41"/>
      <c r="H41" s="23"/>
      <c r="I41" s="23"/>
      <c r="J41"/>
      <c r="K41"/>
      <c r="L41"/>
      <c r="M41"/>
      <c r="N41"/>
      <c r="O41"/>
      <c r="P41"/>
      <c r="Q41"/>
      <c r="R41"/>
      <c r="T41" s="32"/>
      <c r="U41" s="4"/>
      <c r="AN41" s="32"/>
      <c r="AO41" s="16"/>
      <c r="AP41" s="16"/>
      <c r="AQ41" s="16"/>
      <c r="AR41" s="32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32"/>
      <c r="BE41" s="16"/>
      <c r="BF41" s="16"/>
      <c r="BG41" s="16"/>
      <c r="BH41" s="32"/>
      <c r="BI41" s="32"/>
      <c r="BJ41" s="32"/>
      <c r="BK41" s="32"/>
      <c r="BL41" s="32"/>
      <c r="BM41" s="32"/>
      <c r="BN41" s="16"/>
      <c r="BO41" s="16"/>
      <c r="BP41" s="16"/>
      <c r="BQ41" s="16"/>
      <c r="BR41" s="16"/>
      <c r="BS41" s="16"/>
      <c r="BT41" s="16"/>
      <c r="BU41" s="16"/>
      <c r="BV41" s="56"/>
      <c r="BW41" s="16"/>
      <c r="BX41" s="16"/>
      <c r="BY41" s="16"/>
      <c r="BZ41" s="16"/>
      <c r="CA41" s="16"/>
      <c r="CB41" s="16"/>
      <c r="CC41" s="16"/>
      <c r="CD41" s="16"/>
      <c r="CE41" s="111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5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  <c r="GR41" s="25"/>
      <c r="GS41" s="25"/>
      <c r="GT41" s="25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16"/>
      <c r="HG41" s="16"/>
      <c r="HH41" s="16"/>
      <c r="HI41" s="16"/>
      <c r="HJ41" s="16"/>
      <c r="HK41" s="16"/>
      <c r="HL41" s="16"/>
      <c r="HM41" s="51"/>
      <c r="HN41" s="51"/>
      <c r="HO41" s="51"/>
      <c r="HP41" s="51"/>
      <c r="HQ41" s="51"/>
      <c r="HR41" s="51"/>
      <c r="HS41"/>
      <c r="HT41"/>
      <c r="HU41"/>
      <c r="HV41"/>
    </row>
    <row r="42" spans="1:230" s="1" customFormat="1" x14ac:dyDescent="0.35">
      <c r="A42"/>
      <c r="B42"/>
      <c r="C42"/>
      <c r="D42"/>
      <c r="E42"/>
      <c r="F42"/>
      <c r="G42"/>
      <c r="H42" s="23"/>
      <c r="I42" s="23"/>
      <c r="J42"/>
      <c r="K42"/>
      <c r="L42"/>
      <c r="M42"/>
      <c r="N42"/>
      <c r="O42"/>
      <c r="P42"/>
      <c r="Q42"/>
      <c r="R42"/>
      <c r="T42" s="32"/>
      <c r="U42" s="4"/>
      <c r="AN42" s="32"/>
      <c r="AO42" s="16"/>
      <c r="AP42" s="16"/>
      <c r="AQ42" s="16"/>
      <c r="AR42" s="32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32"/>
      <c r="BE42" s="16"/>
      <c r="BF42" s="16"/>
      <c r="BG42" s="16"/>
      <c r="BH42" s="32"/>
      <c r="BI42" s="32"/>
      <c r="BJ42" s="32"/>
      <c r="BK42" s="32"/>
      <c r="BL42" s="32"/>
      <c r="BM42" s="32"/>
      <c r="BN42" s="16"/>
      <c r="BO42" s="16"/>
      <c r="BP42" s="16"/>
      <c r="BQ42" s="16"/>
      <c r="BR42" s="16"/>
      <c r="BS42" s="16"/>
      <c r="BT42" s="16"/>
      <c r="BU42" s="16"/>
      <c r="BV42" s="56"/>
      <c r="BW42" s="16"/>
      <c r="BX42" s="16"/>
      <c r="BY42" s="16"/>
      <c r="BZ42" s="16"/>
      <c r="CA42" s="16"/>
      <c r="CB42" s="16"/>
      <c r="CC42" s="16"/>
      <c r="CD42" s="16"/>
      <c r="CE42" s="111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5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16"/>
      <c r="HG42" s="16"/>
      <c r="HH42" s="16"/>
      <c r="HI42" s="16"/>
      <c r="HJ42" s="16"/>
      <c r="HK42" s="16"/>
      <c r="HL42" s="16"/>
      <c r="HM42" s="51"/>
      <c r="HN42" s="51"/>
      <c r="HO42" s="51"/>
      <c r="HP42" s="51"/>
      <c r="HQ42" s="51"/>
      <c r="HR42" s="51"/>
      <c r="HS42"/>
      <c r="HT42"/>
      <c r="HU42"/>
      <c r="HV42"/>
    </row>
    <row r="43" spans="1:230" s="1" customFormat="1" x14ac:dyDescent="0.35">
      <c r="A43"/>
      <c r="B43"/>
      <c r="C43"/>
      <c r="D43"/>
      <c r="E43"/>
      <c r="F43"/>
      <c r="G43"/>
      <c r="H43" s="23"/>
      <c r="I43" s="23"/>
      <c r="J43"/>
      <c r="K43"/>
      <c r="L43"/>
      <c r="M43"/>
      <c r="N43"/>
      <c r="O43"/>
      <c r="P43"/>
      <c r="Q43"/>
      <c r="R43"/>
      <c r="T43" s="32"/>
      <c r="U43" s="4"/>
      <c r="AN43" s="32"/>
      <c r="AO43" s="16"/>
      <c r="AP43" s="16"/>
      <c r="AQ43" s="16"/>
      <c r="AR43" s="32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32"/>
      <c r="BE43" s="16"/>
      <c r="BF43" s="16"/>
      <c r="BG43" s="16"/>
      <c r="BH43" s="32"/>
      <c r="BI43" s="32"/>
      <c r="BJ43" s="32"/>
      <c r="BK43" s="32"/>
      <c r="BL43" s="32"/>
      <c r="BM43" s="32"/>
      <c r="BN43" s="16"/>
      <c r="BO43" s="16"/>
      <c r="BP43" s="16"/>
      <c r="BQ43" s="16"/>
      <c r="BR43" s="16"/>
      <c r="BS43" s="16"/>
      <c r="BT43" s="16"/>
      <c r="BU43" s="16"/>
      <c r="BV43" s="56"/>
      <c r="BW43" s="16"/>
      <c r="BX43" s="16"/>
      <c r="BY43" s="16"/>
      <c r="BZ43" s="16"/>
      <c r="CA43" s="16"/>
      <c r="CB43" s="16"/>
      <c r="CC43" s="16"/>
      <c r="CD43" s="16"/>
      <c r="CE43" s="111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5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16"/>
      <c r="HG43" s="16"/>
      <c r="HH43" s="16"/>
      <c r="HI43" s="16"/>
      <c r="HJ43" s="16"/>
      <c r="HK43" s="16"/>
      <c r="HL43" s="16"/>
      <c r="HM43" s="51"/>
      <c r="HN43" s="51"/>
      <c r="HO43" s="51"/>
      <c r="HP43" s="51"/>
      <c r="HQ43" s="51"/>
      <c r="HR43" s="51"/>
      <c r="HS43"/>
      <c r="HT43"/>
      <c r="HU43"/>
      <c r="HV43"/>
    </row>
    <row r="44" spans="1:230" s="1" customFormat="1" x14ac:dyDescent="0.35">
      <c r="A44"/>
      <c r="B44"/>
      <c r="C44"/>
      <c r="D44"/>
      <c r="E44"/>
      <c r="F44"/>
      <c r="G44"/>
      <c r="H44" s="23"/>
      <c r="I44" s="23"/>
      <c r="J44"/>
      <c r="K44"/>
      <c r="L44"/>
      <c r="M44"/>
      <c r="N44"/>
      <c r="O44"/>
      <c r="P44"/>
      <c r="Q44"/>
      <c r="R44"/>
      <c r="T44" s="32"/>
      <c r="U44" s="4"/>
      <c r="AN44" s="32"/>
      <c r="AO44" s="16"/>
      <c r="AP44" s="16"/>
      <c r="AQ44" s="16"/>
      <c r="AR44" s="32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32"/>
      <c r="BE44" s="16"/>
      <c r="BF44" s="16"/>
      <c r="BG44" s="16"/>
      <c r="BH44" s="32"/>
      <c r="BI44" s="32"/>
      <c r="BJ44" s="32"/>
      <c r="BK44" s="32"/>
      <c r="BL44" s="32"/>
      <c r="BM44" s="32"/>
      <c r="BN44" s="16"/>
      <c r="BO44" s="16"/>
      <c r="BP44" s="16"/>
      <c r="BQ44" s="16"/>
      <c r="BR44" s="16"/>
      <c r="BS44" s="16"/>
      <c r="BT44" s="16"/>
      <c r="BU44" s="16"/>
      <c r="BV44" s="56"/>
      <c r="BW44" s="16"/>
      <c r="BX44" s="16"/>
      <c r="BY44" s="16"/>
      <c r="BZ44" s="16"/>
      <c r="CA44" s="16"/>
      <c r="CB44" s="16"/>
      <c r="CC44" s="16"/>
      <c r="CD44" s="16"/>
      <c r="CE44" s="111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5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56"/>
      <c r="DZ44" s="56"/>
      <c r="EA44" s="56"/>
      <c r="EB44" s="56"/>
      <c r="EC44" s="56"/>
      <c r="ED44" s="56"/>
      <c r="EE44" s="56"/>
      <c r="EF44" s="56"/>
      <c r="EG44" s="56"/>
      <c r="EH44" s="56"/>
      <c r="EI44" s="56"/>
      <c r="EJ44" s="56"/>
      <c r="EK44" s="56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16"/>
      <c r="HG44" s="16"/>
      <c r="HH44" s="16"/>
      <c r="HI44" s="16"/>
      <c r="HJ44" s="16"/>
      <c r="HK44" s="16"/>
      <c r="HL44" s="16"/>
      <c r="HM44" s="51"/>
      <c r="HN44" s="51"/>
      <c r="HO44" s="51"/>
      <c r="HP44" s="51"/>
      <c r="HQ44" s="51"/>
      <c r="HR44" s="51"/>
      <c r="HS44"/>
      <c r="HT44"/>
      <c r="HU44"/>
      <c r="HV44"/>
    </row>
    <row r="45" spans="1:230" s="1" customFormat="1" x14ac:dyDescent="0.35">
      <c r="A45"/>
      <c r="B45"/>
      <c r="C45"/>
      <c r="D45"/>
      <c r="E45"/>
      <c r="F45"/>
      <c r="G45"/>
      <c r="H45" s="23"/>
      <c r="I45" s="23"/>
      <c r="J45"/>
      <c r="K45"/>
      <c r="L45"/>
      <c r="M45"/>
      <c r="N45"/>
      <c r="O45"/>
      <c r="P45"/>
      <c r="Q45"/>
      <c r="R45"/>
      <c r="T45" s="32"/>
      <c r="U45" s="4"/>
      <c r="AN45" s="32"/>
      <c r="AO45" s="16"/>
      <c r="AP45" s="16"/>
      <c r="AQ45" s="16"/>
      <c r="AR45" s="32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32"/>
      <c r="BE45" s="16"/>
      <c r="BF45" s="16"/>
      <c r="BG45" s="16"/>
      <c r="BH45" s="32"/>
      <c r="BI45" s="32"/>
      <c r="BJ45" s="32"/>
      <c r="BK45" s="32"/>
      <c r="BL45" s="32"/>
      <c r="BM45" s="32"/>
      <c r="BN45" s="16"/>
      <c r="BO45" s="16"/>
      <c r="BP45" s="16"/>
      <c r="BQ45" s="16"/>
      <c r="BR45" s="16"/>
      <c r="BS45" s="16"/>
      <c r="BT45" s="16"/>
      <c r="BU45" s="16"/>
      <c r="BV45" s="56"/>
      <c r="BW45" s="16"/>
      <c r="BX45" s="16"/>
      <c r="BY45" s="16"/>
      <c r="BZ45" s="16"/>
      <c r="CA45" s="16"/>
      <c r="CB45" s="16"/>
      <c r="CC45" s="16"/>
      <c r="CD45" s="16"/>
      <c r="CE45" s="111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5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56"/>
      <c r="EK45" s="56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16"/>
      <c r="HG45" s="16"/>
      <c r="HH45" s="16"/>
      <c r="HI45" s="16"/>
      <c r="HJ45" s="16"/>
      <c r="HK45" s="16"/>
      <c r="HL45" s="16"/>
      <c r="HM45" s="51"/>
      <c r="HN45" s="51"/>
      <c r="HO45" s="51"/>
      <c r="HP45" s="51"/>
      <c r="HQ45" s="51"/>
      <c r="HR45" s="51"/>
      <c r="HS45"/>
      <c r="HT45"/>
      <c r="HU45"/>
      <c r="HV45"/>
    </row>
    <row r="46" spans="1:230" s="1" customFormat="1" x14ac:dyDescent="0.35">
      <c r="A46"/>
      <c r="B46"/>
      <c r="C46"/>
      <c r="D46"/>
      <c r="E46"/>
      <c r="F46"/>
      <c r="G46"/>
      <c r="H46" s="23"/>
      <c r="I46" s="23"/>
      <c r="J46"/>
      <c r="K46"/>
      <c r="L46"/>
      <c r="M46"/>
      <c r="N46"/>
      <c r="O46"/>
      <c r="P46"/>
      <c r="Q46"/>
      <c r="R46"/>
      <c r="T46" s="32"/>
      <c r="U46" s="4"/>
      <c r="AN46" s="32"/>
      <c r="AO46" s="16"/>
      <c r="AP46" s="16"/>
      <c r="AQ46" s="16"/>
      <c r="AR46" s="32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32"/>
      <c r="BE46" s="16"/>
      <c r="BF46" s="16"/>
      <c r="BG46" s="16"/>
      <c r="BH46" s="32"/>
      <c r="BI46" s="32"/>
      <c r="BJ46" s="32"/>
      <c r="BK46" s="32"/>
      <c r="BL46" s="32"/>
      <c r="BM46" s="32"/>
      <c r="BN46" s="16"/>
      <c r="BO46" s="16"/>
      <c r="BP46" s="16"/>
      <c r="BQ46" s="16"/>
      <c r="BR46" s="16"/>
      <c r="BS46" s="16"/>
      <c r="BT46" s="16"/>
      <c r="BU46" s="16"/>
      <c r="BV46" s="56"/>
      <c r="BW46" s="16"/>
      <c r="BX46" s="16"/>
      <c r="BY46" s="16"/>
      <c r="BZ46" s="16"/>
      <c r="CA46" s="16"/>
      <c r="CB46" s="16"/>
      <c r="CC46" s="16"/>
      <c r="CD46" s="16"/>
      <c r="CE46" s="111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5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16"/>
      <c r="HG46" s="16"/>
      <c r="HH46" s="16"/>
      <c r="HI46" s="16"/>
      <c r="HJ46" s="16"/>
      <c r="HK46" s="16"/>
      <c r="HL46" s="16"/>
      <c r="HM46" s="51"/>
      <c r="HN46" s="51"/>
      <c r="HO46" s="51"/>
      <c r="HP46" s="51"/>
      <c r="HQ46" s="51"/>
      <c r="HR46" s="51"/>
      <c r="HS46"/>
      <c r="HT46"/>
      <c r="HU46"/>
      <c r="HV46"/>
    </row>
    <row r="47" spans="1:230" s="1" customFormat="1" x14ac:dyDescent="0.35">
      <c r="A47"/>
      <c r="B47"/>
      <c r="C47"/>
      <c r="D47"/>
      <c r="E47"/>
      <c r="F47"/>
      <c r="G47"/>
      <c r="H47" s="23"/>
      <c r="I47" s="23"/>
      <c r="J47"/>
      <c r="K47"/>
      <c r="L47"/>
      <c r="M47"/>
      <c r="N47"/>
      <c r="O47"/>
      <c r="P47"/>
      <c r="Q47"/>
      <c r="R47"/>
      <c r="T47" s="32"/>
      <c r="U47" s="4"/>
      <c r="AN47" s="32"/>
      <c r="AO47" s="16"/>
      <c r="AP47" s="16"/>
      <c r="AQ47" s="16"/>
      <c r="AR47" s="32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32"/>
      <c r="BE47" s="16"/>
      <c r="BF47" s="16"/>
      <c r="BG47" s="16"/>
      <c r="BH47" s="32"/>
      <c r="BI47" s="32"/>
      <c r="BJ47" s="32"/>
      <c r="BK47" s="32"/>
      <c r="BL47" s="32"/>
      <c r="BM47" s="32"/>
      <c r="BN47" s="16"/>
      <c r="BO47" s="16"/>
      <c r="BP47" s="16"/>
      <c r="BQ47" s="16"/>
      <c r="BR47" s="16"/>
      <c r="BS47" s="16"/>
      <c r="BT47" s="16"/>
      <c r="BU47" s="16"/>
      <c r="BV47" s="56"/>
      <c r="BW47" s="16"/>
      <c r="BX47" s="16"/>
      <c r="BY47" s="16"/>
      <c r="BZ47" s="16"/>
      <c r="CA47" s="16"/>
      <c r="CB47" s="16"/>
      <c r="CC47" s="16"/>
      <c r="CD47" s="16"/>
      <c r="CE47" s="111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5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16"/>
      <c r="HG47" s="16"/>
      <c r="HH47" s="16"/>
      <c r="HI47" s="16"/>
      <c r="HJ47" s="16"/>
      <c r="HK47" s="16"/>
      <c r="HL47" s="16"/>
      <c r="HM47" s="51"/>
      <c r="HN47" s="51"/>
      <c r="HO47" s="51"/>
      <c r="HP47" s="51"/>
      <c r="HQ47" s="51"/>
      <c r="HR47" s="51"/>
      <c r="HS47"/>
      <c r="HT47"/>
      <c r="HU47"/>
      <c r="HV47"/>
    </row>
    <row r="48" spans="1:230" s="1" customFormat="1" x14ac:dyDescent="0.35">
      <c r="A48"/>
      <c r="B48"/>
      <c r="C48"/>
      <c r="D48"/>
      <c r="E48"/>
      <c r="F48"/>
      <c r="G48"/>
      <c r="H48" s="23"/>
      <c r="I48" s="23"/>
      <c r="J48"/>
      <c r="K48"/>
      <c r="L48"/>
      <c r="M48"/>
      <c r="N48"/>
      <c r="O48"/>
      <c r="P48"/>
      <c r="Q48"/>
      <c r="R48"/>
      <c r="T48" s="32"/>
      <c r="U48" s="4"/>
      <c r="AN48" s="32"/>
      <c r="AO48" s="16"/>
      <c r="AP48" s="16"/>
      <c r="AQ48" s="16"/>
      <c r="AR48" s="32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32"/>
      <c r="BE48" s="16"/>
      <c r="BF48" s="16"/>
      <c r="BG48" s="16"/>
      <c r="BH48" s="32"/>
      <c r="BI48" s="32"/>
      <c r="BJ48" s="32"/>
      <c r="BK48" s="32"/>
      <c r="BL48" s="32"/>
      <c r="BM48" s="32"/>
      <c r="BN48" s="16"/>
      <c r="BO48" s="16"/>
      <c r="BP48" s="16"/>
      <c r="BQ48" s="16"/>
      <c r="BR48" s="16"/>
      <c r="BS48" s="16"/>
      <c r="BT48" s="16"/>
      <c r="BU48" s="16"/>
      <c r="BV48" s="56"/>
      <c r="BW48" s="16"/>
      <c r="BX48" s="16"/>
      <c r="BY48" s="16"/>
      <c r="BZ48" s="16"/>
      <c r="CA48" s="16"/>
      <c r="CB48" s="16"/>
      <c r="CC48" s="16"/>
      <c r="CD48" s="16"/>
      <c r="CE48" s="111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5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  <c r="GR48" s="25"/>
      <c r="GS48" s="25"/>
      <c r="GT48" s="25"/>
      <c r="GU48" s="25"/>
      <c r="GV48" s="25"/>
      <c r="GW48" s="25"/>
      <c r="GX48" s="25"/>
      <c r="GY48" s="25"/>
      <c r="GZ48" s="25"/>
      <c r="HA48" s="25"/>
      <c r="HB48" s="25"/>
      <c r="HC48" s="25"/>
      <c r="HD48" s="25"/>
      <c r="HE48" s="25"/>
      <c r="HF48" s="16"/>
      <c r="HG48" s="16"/>
      <c r="HH48" s="16"/>
      <c r="HI48" s="16"/>
      <c r="HJ48" s="16"/>
      <c r="HK48" s="16"/>
      <c r="HL48" s="16"/>
      <c r="HM48" s="51"/>
      <c r="HN48" s="51"/>
      <c r="HO48" s="51"/>
      <c r="HP48" s="51"/>
      <c r="HQ48" s="51"/>
      <c r="HR48" s="51"/>
      <c r="HS48"/>
      <c r="HT48"/>
      <c r="HU48"/>
      <c r="HV48"/>
    </row>
    <row r="49" spans="1:230" s="1" customFormat="1" x14ac:dyDescent="0.35">
      <c r="A49"/>
      <c r="B49"/>
      <c r="C49"/>
      <c r="D49"/>
      <c r="E49"/>
      <c r="F49"/>
      <c r="G49"/>
      <c r="H49" s="23"/>
      <c r="I49" s="23"/>
      <c r="J49"/>
      <c r="K49"/>
      <c r="L49"/>
      <c r="M49"/>
      <c r="N49"/>
      <c r="O49"/>
      <c r="P49"/>
      <c r="Q49"/>
      <c r="R49"/>
      <c r="T49" s="32"/>
      <c r="U49" s="4"/>
      <c r="AN49" s="32"/>
      <c r="AO49" s="16"/>
      <c r="AP49" s="16"/>
      <c r="AQ49" s="16"/>
      <c r="AR49" s="32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32"/>
      <c r="BE49" s="16"/>
      <c r="BF49" s="16"/>
      <c r="BG49" s="16"/>
      <c r="BH49" s="32"/>
      <c r="BI49" s="32"/>
      <c r="BJ49" s="32"/>
      <c r="BK49" s="32"/>
      <c r="BL49" s="32"/>
      <c r="BM49" s="32"/>
      <c r="BN49" s="16"/>
      <c r="BO49" s="16"/>
      <c r="BP49" s="16"/>
      <c r="BQ49" s="16"/>
      <c r="BR49" s="16"/>
      <c r="BS49" s="16"/>
      <c r="BT49" s="16"/>
      <c r="BU49" s="16"/>
      <c r="BV49" s="56"/>
      <c r="BW49" s="16"/>
      <c r="BX49" s="16"/>
      <c r="BY49" s="16"/>
      <c r="BZ49" s="16"/>
      <c r="CA49" s="16"/>
      <c r="CB49" s="16"/>
      <c r="CC49" s="16"/>
      <c r="CD49" s="16"/>
      <c r="CE49" s="111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5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56"/>
      <c r="DZ49" s="56"/>
      <c r="EA49" s="56"/>
      <c r="EB49" s="56"/>
      <c r="EC49" s="56"/>
      <c r="ED49" s="56"/>
      <c r="EE49" s="56"/>
      <c r="EF49" s="56"/>
      <c r="EG49" s="56"/>
      <c r="EH49" s="56"/>
      <c r="EI49" s="56"/>
      <c r="EJ49" s="56"/>
      <c r="EK49" s="56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  <c r="GR49" s="25"/>
      <c r="GS49" s="25"/>
      <c r="GT49" s="25"/>
      <c r="GU49" s="25"/>
      <c r="GV49" s="25"/>
      <c r="GW49" s="25"/>
      <c r="GX49" s="25"/>
      <c r="GY49" s="25"/>
      <c r="GZ49" s="25"/>
      <c r="HA49" s="25"/>
      <c r="HB49" s="25"/>
      <c r="HC49" s="25"/>
      <c r="HD49" s="25"/>
      <c r="HE49" s="25"/>
      <c r="HF49" s="16"/>
      <c r="HG49" s="16"/>
      <c r="HH49" s="16"/>
      <c r="HI49" s="16"/>
      <c r="HJ49" s="16"/>
      <c r="HK49" s="16"/>
      <c r="HL49" s="16"/>
      <c r="HM49" s="51"/>
      <c r="HN49" s="51"/>
      <c r="HO49" s="51"/>
      <c r="HP49" s="51"/>
      <c r="HQ49" s="51"/>
      <c r="HR49" s="51"/>
      <c r="HS49"/>
      <c r="HT49"/>
      <c r="HU49"/>
      <c r="HV49"/>
    </row>
    <row r="50" spans="1:230" s="1" customFormat="1" x14ac:dyDescent="0.35">
      <c r="A50"/>
      <c r="B50"/>
      <c r="C50"/>
      <c r="D50"/>
      <c r="E50"/>
      <c r="F50"/>
      <c r="G50"/>
      <c r="H50" s="23"/>
      <c r="I50" s="23"/>
      <c r="J50"/>
      <c r="K50"/>
      <c r="L50"/>
      <c r="M50"/>
      <c r="N50"/>
      <c r="O50"/>
      <c r="P50"/>
      <c r="Q50"/>
      <c r="R50"/>
      <c r="T50" s="32"/>
      <c r="U50" s="4"/>
      <c r="AN50" s="32"/>
      <c r="AO50" s="16"/>
      <c r="AP50" s="16"/>
      <c r="AQ50" s="16"/>
      <c r="AR50" s="32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32"/>
      <c r="BE50" s="16"/>
      <c r="BF50" s="16"/>
      <c r="BG50" s="16"/>
      <c r="BH50" s="32"/>
      <c r="BI50" s="32"/>
      <c r="BJ50" s="32"/>
      <c r="BK50" s="32"/>
      <c r="BL50" s="32"/>
      <c r="BM50" s="32"/>
      <c r="BN50" s="16"/>
      <c r="BO50" s="16"/>
      <c r="BP50" s="16"/>
      <c r="BQ50" s="16"/>
      <c r="BR50" s="16"/>
      <c r="BS50" s="16"/>
      <c r="BT50" s="16"/>
      <c r="BU50" s="16"/>
      <c r="BV50" s="56"/>
      <c r="BW50" s="16"/>
      <c r="BX50" s="16"/>
      <c r="BY50" s="16"/>
      <c r="BZ50" s="16"/>
      <c r="CA50" s="16"/>
      <c r="CB50" s="16"/>
      <c r="CC50" s="16"/>
      <c r="CD50" s="16"/>
      <c r="CE50" s="111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5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56"/>
      <c r="EJ50" s="56"/>
      <c r="EK50" s="56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  <c r="GR50" s="25"/>
      <c r="GS50" s="25"/>
      <c r="GT50" s="25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16"/>
      <c r="HG50" s="16"/>
      <c r="HH50" s="16"/>
      <c r="HI50" s="16"/>
      <c r="HJ50" s="16"/>
      <c r="HK50" s="16"/>
      <c r="HL50" s="16"/>
      <c r="HM50" s="51"/>
      <c r="HN50" s="51"/>
      <c r="HO50" s="51"/>
      <c r="HP50" s="51"/>
      <c r="HQ50" s="51"/>
      <c r="HR50" s="51"/>
      <c r="HS50"/>
      <c r="HT50"/>
      <c r="HU50"/>
      <c r="HV50"/>
    </row>
    <row r="51" spans="1:230" s="1" customFormat="1" x14ac:dyDescent="0.35">
      <c r="A51"/>
      <c r="B51"/>
      <c r="C51"/>
      <c r="D51"/>
      <c r="E51"/>
      <c r="F51"/>
      <c r="G51"/>
      <c r="H51" s="23"/>
      <c r="I51" s="23"/>
      <c r="J51"/>
      <c r="K51"/>
      <c r="L51"/>
      <c r="M51"/>
      <c r="N51"/>
      <c r="O51"/>
      <c r="P51"/>
      <c r="Q51"/>
      <c r="R51"/>
      <c r="T51" s="32"/>
      <c r="U51" s="4"/>
      <c r="AN51" s="32"/>
      <c r="AO51" s="16"/>
      <c r="AP51" s="16"/>
      <c r="AQ51" s="16"/>
      <c r="AR51" s="32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32"/>
      <c r="BE51" s="16"/>
      <c r="BF51" s="16"/>
      <c r="BG51" s="16"/>
      <c r="BH51" s="32"/>
      <c r="BI51" s="32"/>
      <c r="BJ51" s="32"/>
      <c r="BK51" s="32"/>
      <c r="BL51" s="32"/>
      <c r="BM51" s="32"/>
      <c r="BN51" s="16"/>
      <c r="BO51" s="16"/>
      <c r="BP51" s="16"/>
      <c r="BQ51" s="16"/>
      <c r="BR51" s="16"/>
      <c r="BS51" s="16"/>
      <c r="BT51" s="16"/>
      <c r="BU51" s="16"/>
      <c r="BV51" s="56"/>
      <c r="BW51" s="16"/>
      <c r="BX51" s="16"/>
      <c r="BY51" s="16"/>
      <c r="BZ51" s="16"/>
      <c r="CA51" s="16"/>
      <c r="CB51" s="16"/>
      <c r="CC51" s="16"/>
      <c r="CD51" s="16"/>
      <c r="CE51" s="111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5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56"/>
      <c r="EJ51" s="56"/>
      <c r="EK51" s="56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  <c r="GR51" s="25"/>
      <c r="GS51" s="25"/>
      <c r="GT51" s="25"/>
      <c r="GU51" s="25"/>
      <c r="GV51" s="25"/>
      <c r="GW51" s="25"/>
      <c r="GX51" s="25"/>
      <c r="GY51" s="25"/>
      <c r="GZ51" s="25"/>
      <c r="HA51" s="25"/>
      <c r="HB51" s="25"/>
      <c r="HC51" s="25"/>
      <c r="HD51" s="25"/>
      <c r="HE51" s="25"/>
      <c r="HF51" s="16"/>
      <c r="HG51" s="16"/>
      <c r="HH51" s="16"/>
      <c r="HI51" s="16"/>
      <c r="HJ51" s="16"/>
      <c r="HK51" s="16"/>
      <c r="HL51" s="16"/>
      <c r="HM51" s="51"/>
      <c r="HN51" s="51"/>
      <c r="HO51" s="51"/>
      <c r="HP51" s="51"/>
      <c r="HQ51" s="51"/>
      <c r="HR51" s="51"/>
      <c r="HS51"/>
      <c r="HT51"/>
      <c r="HU51"/>
      <c r="HV51"/>
    </row>
    <row r="52" spans="1:230" s="1" customFormat="1" x14ac:dyDescent="0.35">
      <c r="A52"/>
      <c r="B52"/>
      <c r="C52"/>
      <c r="D52"/>
      <c r="E52"/>
      <c r="F52"/>
      <c r="G52"/>
      <c r="H52" s="23"/>
      <c r="I52" s="23"/>
      <c r="J52"/>
      <c r="K52"/>
      <c r="L52"/>
      <c r="M52"/>
      <c r="N52"/>
      <c r="O52"/>
      <c r="P52"/>
      <c r="Q52"/>
      <c r="R52"/>
      <c r="T52" s="32"/>
      <c r="U52" s="4"/>
      <c r="AN52" s="32"/>
      <c r="AO52" s="16"/>
      <c r="AP52" s="16"/>
      <c r="AQ52" s="16"/>
      <c r="AR52" s="32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32"/>
      <c r="BE52" s="16"/>
      <c r="BF52" s="16"/>
      <c r="BG52" s="16"/>
      <c r="BH52" s="32"/>
      <c r="BI52" s="32"/>
      <c r="BJ52" s="32"/>
      <c r="BK52" s="32"/>
      <c r="BL52" s="32"/>
      <c r="BM52" s="32"/>
      <c r="BN52" s="16"/>
      <c r="BO52" s="16"/>
      <c r="BP52" s="16"/>
      <c r="BQ52" s="16"/>
      <c r="BR52" s="16"/>
      <c r="BS52" s="16"/>
      <c r="BT52" s="16"/>
      <c r="BU52" s="16"/>
      <c r="BV52" s="56"/>
      <c r="BW52" s="16"/>
      <c r="BX52" s="16"/>
      <c r="BY52" s="16"/>
      <c r="BZ52" s="16"/>
      <c r="CA52" s="16"/>
      <c r="CB52" s="16"/>
      <c r="CC52" s="16"/>
      <c r="CD52" s="16"/>
      <c r="CE52" s="111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5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56"/>
      <c r="EJ52" s="56"/>
      <c r="EK52" s="56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  <c r="GR52" s="25"/>
      <c r="GS52" s="25"/>
      <c r="GT52" s="25"/>
      <c r="GU52" s="25"/>
      <c r="GV52" s="25"/>
      <c r="GW52" s="25"/>
      <c r="GX52" s="25"/>
      <c r="GY52" s="25"/>
      <c r="GZ52" s="25"/>
      <c r="HA52" s="25"/>
      <c r="HB52" s="25"/>
      <c r="HC52" s="25"/>
      <c r="HD52" s="25"/>
      <c r="HE52" s="25"/>
      <c r="HF52" s="16"/>
      <c r="HG52" s="16"/>
      <c r="HH52" s="16"/>
      <c r="HI52" s="16"/>
      <c r="HJ52" s="16"/>
      <c r="HK52" s="16"/>
      <c r="HL52" s="16"/>
      <c r="HM52" s="51"/>
      <c r="HN52" s="51"/>
      <c r="HO52" s="51"/>
      <c r="HP52" s="51"/>
      <c r="HQ52" s="51"/>
      <c r="HR52" s="51"/>
      <c r="HS52"/>
      <c r="HT52"/>
      <c r="HU52"/>
      <c r="HV52"/>
    </row>
    <row r="53" spans="1:230" s="1" customFormat="1" x14ac:dyDescent="0.35">
      <c r="A53"/>
      <c r="B53"/>
      <c r="C53"/>
      <c r="D53"/>
      <c r="E53"/>
      <c r="F53"/>
      <c r="G53"/>
      <c r="H53" s="23"/>
      <c r="I53" s="23"/>
      <c r="J53"/>
      <c r="K53"/>
      <c r="L53"/>
      <c r="M53"/>
      <c r="N53"/>
      <c r="O53"/>
      <c r="P53"/>
      <c r="Q53"/>
      <c r="R53"/>
      <c r="T53" s="32"/>
      <c r="U53" s="4"/>
      <c r="AN53" s="32"/>
      <c r="AO53" s="16"/>
      <c r="AP53" s="16"/>
      <c r="AQ53" s="16"/>
      <c r="AR53" s="32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32"/>
      <c r="BE53" s="16"/>
      <c r="BF53" s="16"/>
      <c r="BG53" s="16"/>
      <c r="BH53" s="32"/>
      <c r="BI53" s="32"/>
      <c r="BJ53" s="32"/>
      <c r="BK53" s="32"/>
      <c r="BL53" s="32"/>
      <c r="BM53" s="32"/>
      <c r="BN53" s="16"/>
      <c r="BO53" s="16"/>
      <c r="BP53" s="16"/>
      <c r="BQ53" s="16"/>
      <c r="BR53" s="16"/>
      <c r="BS53" s="16"/>
      <c r="BT53" s="16"/>
      <c r="BU53" s="16"/>
      <c r="BV53" s="56"/>
      <c r="BW53" s="16"/>
      <c r="BX53" s="16"/>
      <c r="BY53" s="16"/>
      <c r="BZ53" s="16"/>
      <c r="CA53" s="16"/>
      <c r="CB53" s="16"/>
      <c r="CC53" s="16"/>
      <c r="CD53" s="16"/>
      <c r="CE53" s="111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5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56"/>
      <c r="DZ53" s="56"/>
      <c r="EA53" s="56"/>
      <c r="EB53" s="56"/>
      <c r="EC53" s="56"/>
      <c r="ED53" s="56"/>
      <c r="EE53" s="56"/>
      <c r="EF53" s="56"/>
      <c r="EG53" s="56"/>
      <c r="EH53" s="56"/>
      <c r="EI53" s="56"/>
      <c r="EJ53" s="56"/>
      <c r="EK53" s="56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  <c r="GR53" s="25"/>
      <c r="GS53" s="25"/>
      <c r="GT53" s="25"/>
      <c r="GU53" s="25"/>
      <c r="GV53" s="25"/>
      <c r="GW53" s="25"/>
      <c r="GX53" s="25"/>
      <c r="GY53" s="25"/>
      <c r="GZ53" s="25"/>
      <c r="HA53" s="25"/>
      <c r="HB53" s="25"/>
      <c r="HC53" s="25"/>
      <c r="HD53" s="25"/>
      <c r="HE53" s="25"/>
      <c r="HF53" s="16"/>
      <c r="HG53" s="16"/>
      <c r="HH53" s="16"/>
      <c r="HI53" s="16"/>
      <c r="HJ53" s="16"/>
      <c r="HK53" s="16"/>
      <c r="HL53" s="16"/>
      <c r="HM53" s="51"/>
      <c r="HN53" s="51"/>
      <c r="HO53" s="51"/>
      <c r="HP53" s="51"/>
      <c r="HQ53" s="51"/>
      <c r="HR53" s="51"/>
      <c r="HS53"/>
      <c r="HT53"/>
      <c r="HU53"/>
      <c r="HV53"/>
    </row>
    <row r="54" spans="1:230" s="1" customFormat="1" x14ac:dyDescent="0.35">
      <c r="A54"/>
      <c r="B54"/>
      <c r="C54"/>
      <c r="D54"/>
      <c r="E54"/>
      <c r="F54"/>
      <c r="G54"/>
      <c r="H54" s="23"/>
      <c r="I54" s="23"/>
      <c r="J54"/>
      <c r="K54"/>
      <c r="L54"/>
      <c r="M54"/>
      <c r="N54"/>
      <c r="O54"/>
      <c r="P54"/>
      <c r="Q54"/>
      <c r="R54"/>
      <c r="T54" s="32"/>
      <c r="U54" s="4"/>
      <c r="AN54" s="32"/>
      <c r="AO54" s="16"/>
      <c r="AP54" s="16"/>
      <c r="AQ54" s="16"/>
      <c r="AR54" s="32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32"/>
      <c r="BE54" s="16"/>
      <c r="BF54" s="16"/>
      <c r="BG54" s="16"/>
      <c r="BH54" s="32"/>
      <c r="BI54" s="32"/>
      <c r="BJ54" s="32"/>
      <c r="BK54" s="32"/>
      <c r="BL54" s="32"/>
      <c r="BM54" s="32"/>
      <c r="BN54" s="16"/>
      <c r="BO54" s="16"/>
      <c r="BP54" s="16"/>
      <c r="BQ54" s="16"/>
      <c r="BR54" s="16"/>
      <c r="BS54" s="16"/>
      <c r="BT54" s="16"/>
      <c r="BU54" s="16"/>
      <c r="BV54" s="56"/>
      <c r="BW54" s="16"/>
      <c r="BX54" s="16"/>
      <c r="BY54" s="16"/>
      <c r="BZ54" s="16"/>
      <c r="CA54" s="16"/>
      <c r="CB54" s="16"/>
      <c r="CC54" s="16"/>
      <c r="CD54" s="16"/>
      <c r="CE54" s="111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5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56"/>
      <c r="DZ54" s="56"/>
      <c r="EA54" s="56"/>
      <c r="EB54" s="56"/>
      <c r="EC54" s="56"/>
      <c r="ED54" s="56"/>
      <c r="EE54" s="56"/>
      <c r="EF54" s="56"/>
      <c r="EG54" s="56"/>
      <c r="EH54" s="56"/>
      <c r="EI54" s="56"/>
      <c r="EJ54" s="56"/>
      <c r="EK54" s="56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  <c r="GP54" s="25"/>
      <c r="GQ54" s="25"/>
      <c r="GR54" s="25"/>
      <c r="GS54" s="25"/>
      <c r="GT54" s="25"/>
      <c r="GU54" s="25"/>
      <c r="GV54" s="25"/>
      <c r="GW54" s="25"/>
      <c r="GX54" s="25"/>
      <c r="GY54" s="25"/>
      <c r="GZ54" s="25"/>
      <c r="HA54" s="25"/>
      <c r="HB54" s="25"/>
      <c r="HC54" s="25"/>
      <c r="HD54" s="25"/>
      <c r="HE54" s="25"/>
      <c r="HF54" s="16"/>
      <c r="HG54" s="16"/>
      <c r="HH54" s="16"/>
      <c r="HI54" s="16"/>
      <c r="HJ54" s="16"/>
      <c r="HK54" s="16"/>
      <c r="HL54" s="16"/>
      <c r="HM54" s="51"/>
      <c r="HN54" s="51"/>
      <c r="HO54" s="51"/>
      <c r="HP54" s="51"/>
      <c r="HQ54" s="51"/>
      <c r="HR54" s="51"/>
      <c r="HS54"/>
      <c r="HT54"/>
      <c r="HU54"/>
      <c r="HV54"/>
    </row>
    <row r="55" spans="1:230" s="1" customFormat="1" x14ac:dyDescent="0.35">
      <c r="A55"/>
      <c r="B55"/>
      <c r="C55"/>
      <c r="D55"/>
      <c r="E55"/>
      <c r="F55"/>
      <c r="G55"/>
      <c r="H55" s="23"/>
      <c r="I55" s="23"/>
      <c r="J55"/>
      <c r="K55"/>
      <c r="L55"/>
      <c r="M55"/>
      <c r="N55"/>
      <c r="O55"/>
      <c r="P55"/>
      <c r="Q55"/>
      <c r="R55"/>
      <c r="T55" s="32"/>
      <c r="U55" s="4"/>
      <c r="AN55" s="32"/>
      <c r="AO55" s="16"/>
      <c r="AP55" s="16"/>
      <c r="AQ55" s="16"/>
      <c r="AR55" s="32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32"/>
      <c r="BE55" s="16"/>
      <c r="BF55" s="16"/>
      <c r="BG55" s="16"/>
      <c r="BH55" s="32"/>
      <c r="BI55" s="32"/>
      <c r="BJ55" s="32"/>
      <c r="BK55" s="32"/>
      <c r="BL55" s="32"/>
      <c r="BM55" s="32"/>
      <c r="BN55" s="16"/>
      <c r="BO55" s="16"/>
      <c r="BP55" s="16"/>
      <c r="BQ55" s="16"/>
      <c r="BR55" s="16"/>
      <c r="BS55" s="16"/>
      <c r="BT55" s="16"/>
      <c r="BU55" s="16"/>
      <c r="BV55" s="56"/>
      <c r="BW55" s="16"/>
      <c r="BX55" s="16"/>
      <c r="BY55" s="16"/>
      <c r="BZ55" s="16"/>
      <c r="CA55" s="16"/>
      <c r="CB55" s="16"/>
      <c r="CC55" s="16"/>
      <c r="CD55" s="16"/>
      <c r="CE55" s="111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5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56"/>
      <c r="DZ55" s="56"/>
      <c r="EA55" s="56"/>
      <c r="EB55" s="56"/>
      <c r="EC55" s="56"/>
      <c r="ED55" s="56"/>
      <c r="EE55" s="56"/>
      <c r="EF55" s="56"/>
      <c r="EG55" s="56"/>
      <c r="EH55" s="56"/>
      <c r="EI55" s="56"/>
      <c r="EJ55" s="56"/>
      <c r="EK55" s="56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  <c r="GR55" s="25"/>
      <c r="GS55" s="25"/>
      <c r="GT55" s="25"/>
      <c r="GU55" s="25"/>
      <c r="GV55" s="25"/>
      <c r="GW55" s="25"/>
      <c r="GX55" s="25"/>
      <c r="GY55" s="25"/>
      <c r="GZ55" s="25"/>
      <c r="HA55" s="25"/>
      <c r="HB55" s="25"/>
      <c r="HC55" s="25"/>
      <c r="HD55" s="25"/>
      <c r="HE55" s="25"/>
      <c r="HF55" s="16"/>
      <c r="HG55" s="16"/>
      <c r="HH55" s="16"/>
      <c r="HI55" s="16"/>
      <c r="HJ55" s="16"/>
      <c r="HK55" s="16"/>
      <c r="HL55" s="16"/>
      <c r="HM55" s="51"/>
      <c r="HN55" s="51"/>
      <c r="HO55" s="51"/>
      <c r="HP55" s="51"/>
      <c r="HQ55" s="51"/>
      <c r="HR55" s="51"/>
      <c r="HS55"/>
      <c r="HT55"/>
      <c r="HU55"/>
      <c r="HV55"/>
    </row>
    <row r="56" spans="1:230" s="1" customFormat="1" x14ac:dyDescent="0.35">
      <c r="A56"/>
      <c r="B56"/>
      <c r="C56"/>
      <c r="D56"/>
      <c r="E56"/>
      <c r="F56"/>
      <c r="G56"/>
      <c r="H56" s="23"/>
      <c r="I56" s="23"/>
      <c r="J56"/>
      <c r="K56"/>
      <c r="L56"/>
      <c r="M56"/>
      <c r="N56"/>
      <c r="O56"/>
      <c r="P56"/>
      <c r="Q56"/>
      <c r="R56"/>
      <c r="T56" s="32"/>
      <c r="U56" s="4"/>
      <c r="AN56" s="32"/>
      <c r="AO56" s="16"/>
      <c r="AP56" s="16"/>
      <c r="AQ56" s="16"/>
      <c r="AR56" s="32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32"/>
      <c r="BE56" s="16"/>
      <c r="BF56" s="16"/>
      <c r="BG56" s="16"/>
      <c r="BH56" s="32"/>
      <c r="BI56" s="32"/>
      <c r="BJ56" s="32"/>
      <c r="BK56" s="32"/>
      <c r="BL56" s="32"/>
      <c r="BM56" s="32"/>
      <c r="BN56" s="16"/>
      <c r="BO56" s="16"/>
      <c r="BP56" s="16"/>
      <c r="BQ56" s="16"/>
      <c r="BR56" s="16"/>
      <c r="BS56" s="16"/>
      <c r="BT56" s="16"/>
      <c r="BU56" s="16"/>
      <c r="BV56" s="56"/>
      <c r="BW56" s="16"/>
      <c r="BX56" s="16"/>
      <c r="BY56" s="16"/>
      <c r="BZ56" s="16"/>
      <c r="CA56" s="16"/>
      <c r="CB56" s="16"/>
      <c r="CC56" s="16"/>
      <c r="CD56" s="16"/>
      <c r="CE56" s="111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5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56"/>
      <c r="DZ56" s="56"/>
      <c r="EA56" s="56"/>
      <c r="EB56" s="56"/>
      <c r="EC56" s="56"/>
      <c r="ED56" s="56"/>
      <c r="EE56" s="56"/>
      <c r="EF56" s="56"/>
      <c r="EG56" s="56"/>
      <c r="EH56" s="56"/>
      <c r="EI56" s="56"/>
      <c r="EJ56" s="56"/>
      <c r="EK56" s="56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16"/>
      <c r="HG56" s="16"/>
      <c r="HH56" s="16"/>
      <c r="HI56" s="16"/>
      <c r="HJ56" s="16"/>
      <c r="HK56" s="16"/>
      <c r="HL56" s="16"/>
      <c r="HM56" s="51"/>
      <c r="HN56" s="51"/>
      <c r="HO56" s="51"/>
      <c r="HP56" s="51"/>
      <c r="HQ56" s="51"/>
      <c r="HR56" s="51"/>
      <c r="HS56"/>
      <c r="HT56"/>
      <c r="HU56"/>
      <c r="HV56"/>
    </row>
    <row r="57" spans="1:230" s="1" customFormat="1" x14ac:dyDescent="0.35">
      <c r="A57"/>
      <c r="B57"/>
      <c r="C57"/>
      <c r="D57"/>
      <c r="E57"/>
      <c r="F57"/>
      <c r="G57"/>
      <c r="H57" s="23"/>
      <c r="I57" s="23"/>
      <c r="J57"/>
      <c r="K57"/>
      <c r="L57"/>
      <c r="M57"/>
      <c r="N57"/>
      <c r="O57"/>
      <c r="P57"/>
      <c r="Q57"/>
      <c r="R57"/>
      <c r="T57" s="32"/>
      <c r="U57" s="4"/>
      <c r="AN57" s="32"/>
      <c r="AO57" s="16"/>
      <c r="AP57" s="16"/>
      <c r="AQ57" s="16"/>
      <c r="AR57" s="32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32"/>
      <c r="BE57" s="16"/>
      <c r="BF57" s="16"/>
      <c r="BG57" s="16"/>
      <c r="BH57" s="32"/>
      <c r="BI57" s="32"/>
      <c r="BJ57" s="32"/>
      <c r="BK57" s="32"/>
      <c r="BL57" s="32"/>
      <c r="BM57" s="32"/>
      <c r="BN57" s="16"/>
      <c r="BO57" s="16"/>
      <c r="BP57" s="16"/>
      <c r="BQ57" s="16"/>
      <c r="BR57" s="16"/>
      <c r="BS57" s="16"/>
      <c r="BT57" s="16"/>
      <c r="BU57" s="16"/>
      <c r="BV57" s="56"/>
      <c r="BW57" s="16"/>
      <c r="BX57" s="16"/>
      <c r="BY57" s="16"/>
      <c r="BZ57" s="16"/>
      <c r="CA57" s="16"/>
      <c r="CB57" s="16"/>
      <c r="CC57" s="16"/>
      <c r="CD57" s="16"/>
      <c r="CE57" s="111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5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56"/>
      <c r="DZ57" s="56"/>
      <c r="EA57" s="56"/>
      <c r="EB57" s="56"/>
      <c r="EC57" s="56"/>
      <c r="ED57" s="56"/>
      <c r="EE57" s="56"/>
      <c r="EF57" s="56"/>
      <c r="EG57" s="56"/>
      <c r="EH57" s="56"/>
      <c r="EI57" s="56"/>
      <c r="EJ57" s="56"/>
      <c r="EK57" s="56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  <c r="EZ57" s="12"/>
      <c r="FA57" s="12"/>
      <c r="FB57" s="12"/>
      <c r="FC57" s="12"/>
      <c r="FD57" s="12"/>
      <c r="FE57" s="12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  <c r="GR57" s="25"/>
      <c r="GS57" s="25"/>
      <c r="GT57" s="25"/>
      <c r="GU57" s="25"/>
      <c r="GV57" s="25"/>
      <c r="GW57" s="25"/>
      <c r="GX57" s="25"/>
      <c r="GY57" s="25"/>
      <c r="GZ57" s="25"/>
      <c r="HA57" s="25"/>
      <c r="HB57" s="25"/>
      <c r="HC57" s="25"/>
      <c r="HD57" s="25"/>
      <c r="HE57" s="25"/>
      <c r="HF57" s="16"/>
      <c r="HG57" s="16"/>
      <c r="HH57" s="16"/>
      <c r="HI57" s="16"/>
      <c r="HJ57" s="16"/>
      <c r="HK57" s="16"/>
      <c r="HL57" s="16"/>
      <c r="HM57" s="51"/>
      <c r="HN57" s="51"/>
      <c r="HO57" s="51"/>
      <c r="HP57" s="51"/>
      <c r="HQ57" s="51"/>
      <c r="HR57" s="51"/>
      <c r="HS57"/>
      <c r="HT57"/>
      <c r="HU57"/>
      <c r="HV57"/>
    </row>
    <row r="58" spans="1:230" s="1" customFormat="1" x14ac:dyDescent="0.35">
      <c r="A58"/>
      <c r="B58"/>
      <c r="C58"/>
      <c r="D58"/>
      <c r="E58"/>
      <c r="F58"/>
      <c r="G58"/>
      <c r="H58" s="23"/>
      <c r="I58" s="23"/>
      <c r="J58"/>
      <c r="K58"/>
      <c r="L58"/>
      <c r="M58"/>
      <c r="N58"/>
      <c r="O58"/>
      <c r="P58"/>
      <c r="Q58"/>
      <c r="R58"/>
      <c r="T58" s="32"/>
      <c r="U58" s="4"/>
      <c r="AN58" s="32"/>
      <c r="AO58" s="16"/>
      <c r="AP58" s="16"/>
      <c r="AQ58" s="16"/>
      <c r="AR58" s="32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32"/>
      <c r="BE58" s="16"/>
      <c r="BF58" s="16"/>
      <c r="BG58" s="16"/>
      <c r="BH58" s="32"/>
      <c r="BI58" s="32"/>
      <c r="BJ58" s="32"/>
      <c r="BK58" s="32"/>
      <c r="BL58" s="32"/>
      <c r="BM58" s="32"/>
      <c r="BN58" s="16"/>
      <c r="BO58" s="16"/>
      <c r="BP58" s="16"/>
      <c r="BQ58" s="16"/>
      <c r="BR58" s="16"/>
      <c r="BS58" s="16"/>
      <c r="BT58" s="16"/>
      <c r="BU58" s="16"/>
      <c r="BV58" s="56"/>
      <c r="BW58" s="16"/>
      <c r="BX58" s="16"/>
      <c r="BY58" s="16"/>
      <c r="BZ58" s="16"/>
      <c r="CA58" s="16"/>
      <c r="CB58" s="16"/>
      <c r="CC58" s="16"/>
      <c r="CD58" s="16"/>
      <c r="CE58" s="111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5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56"/>
      <c r="DZ58" s="56"/>
      <c r="EA58" s="56"/>
      <c r="EB58" s="56"/>
      <c r="EC58" s="56"/>
      <c r="ED58" s="56"/>
      <c r="EE58" s="56"/>
      <c r="EF58" s="56"/>
      <c r="EG58" s="56"/>
      <c r="EH58" s="56"/>
      <c r="EI58" s="56"/>
      <c r="EJ58" s="56"/>
      <c r="EK58" s="56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5"/>
      <c r="HE58" s="25"/>
      <c r="HF58" s="16"/>
      <c r="HG58" s="16"/>
      <c r="HH58" s="16"/>
      <c r="HI58" s="16"/>
      <c r="HJ58" s="16"/>
      <c r="HK58" s="16"/>
      <c r="HL58" s="16"/>
      <c r="HM58" s="51"/>
      <c r="HN58" s="51"/>
      <c r="HO58" s="51"/>
      <c r="HP58" s="51"/>
      <c r="HQ58" s="51"/>
      <c r="HR58" s="51"/>
      <c r="HS58"/>
      <c r="HT58"/>
      <c r="HU58"/>
      <c r="HV58"/>
    </row>
    <row r="59" spans="1:230" s="1" customFormat="1" x14ac:dyDescent="0.35">
      <c r="A59"/>
      <c r="B59"/>
      <c r="C59"/>
      <c r="D59"/>
      <c r="E59"/>
      <c r="F59"/>
      <c r="G59"/>
      <c r="H59" s="23"/>
      <c r="I59" s="23"/>
      <c r="J59"/>
      <c r="K59"/>
      <c r="L59"/>
      <c r="M59"/>
      <c r="N59"/>
      <c r="O59"/>
      <c r="P59"/>
      <c r="Q59"/>
      <c r="R59"/>
      <c r="T59" s="32"/>
      <c r="U59" s="4"/>
      <c r="AN59" s="32"/>
      <c r="AO59" s="16"/>
      <c r="AP59" s="16"/>
      <c r="AQ59" s="16"/>
      <c r="AR59" s="32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32"/>
      <c r="BE59" s="16"/>
      <c r="BF59" s="16"/>
      <c r="BG59" s="16"/>
      <c r="BH59" s="32"/>
      <c r="BI59" s="32"/>
      <c r="BJ59" s="32"/>
      <c r="BK59" s="32"/>
      <c r="BL59" s="32"/>
      <c r="BM59" s="32"/>
      <c r="BN59" s="16"/>
      <c r="BO59" s="16"/>
      <c r="BP59" s="16"/>
      <c r="BQ59" s="16"/>
      <c r="BR59" s="16"/>
      <c r="BS59" s="16"/>
      <c r="BT59" s="16"/>
      <c r="BU59" s="16"/>
      <c r="BV59" s="56"/>
      <c r="BW59" s="16"/>
      <c r="BX59" s="16"/>
      <c r="BY59" s="16"/>
      <c r="BZ59" s="16"/>
      <c r="CA59" s="16"/>
      <c r="CB59" s="16"/>
      <c r="CC59" s="16"/>
      <c r="CD59" s="16"/>
      <c r="CE59" s="111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5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56"/>
      <c r="DZ59" s="56"/>
      <c r="EA59" s="56"/>
      <c r="EB59" s="56"/>
      <c r="EC59" s="56"/>
      <c r="ED59" s="56"/>
      <c r="EE59" s="56"/>
      <c r="EF59" s="56"/>
      <c r="EG59" s="56"/>
      <c r="EH59" s="56"/>
      <c r="EI59" s="56"/>
      <c r="EJ59" s="56"/>
      <c r="EK59" s="56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  <c r="FM59" s="12"/>
      <c r="FN59" s="12"/>
      <c r="FO59" s="12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16"/>
      <c r="HG59" s="16"/>
      <c r="HH59" s="16"/>
      <c r="HI59" s="16"/>
      <c r="HJ59" s="16"/>
      <c r="HK59" s="16"/>
      <c r="HL59" s="16"/>
      <c r="HM59" s="51"/>
      <c r="HN59" s="51"/>
      <c r="HO59" s="51"/>
      <c r="HP59" s="51"/>
      <c r="HQ59" s="51"/>
      <c r="HR59" s="51"/>
      <c r="HS59"/>
      <c r="HT59"/>
      <c r="HU59"/>
      <c r="HV59"/>
    </row>
    <row r="60" spans="1:230" s="1" customFormat="1" x14ac:dyDescent="0.35">
      <c r="A60"/>
      <c r="B60"/>
      <c r="C60"/>
      <c r="D60"/>
      <c r="E60"/>
      <c r="F60"/>
      <c r="G60"/>
      <c r="H60" s="23"/>
      <c r="I60" s="23"/>
      <c r="J60"/>
      <c r="K60"/>
      <c r="L60"/>
      <c r="M60"/>
      <c r="N60"/>
      <c r="O60"/>
      <c r="P60"/>
      <c r="Q60"/>
      <c r="R60"/>
      <c r="T60" s="32"/>
      <c r="U60" s="4"/>
      <c r="AN60" s="32"/>
      <c r="AO60" s="16"/>
      <c r="AP60" s="16"/>
      <c r="AQ60" s="16"/>
      <c r="AR60" s="32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32"/>
      <c r="BE60" s="16"/>
      <c r="BF60" s="16"/>
      <c r="BG60" s="16"/>
      <c r="BH60" s="32"/>
      <c r="BI60" s="32"/>
      <c r="BJ60" s="32"/>
      <c r="BK60" s="32"/>
      <c r="BL60" s="32"/>
      <c r="BM60" s="32"/>
      <c r="BN60" s="16"/>
      <c r="BO60" s="16"/>
      <c r="BP60" s="16"/>
      <c r="BQ60" s="16"/>
      <c r="BR60" s="16"/>
      <c r="BS60" s="16"/>
      <c r="BT60" s="16"/>
      <c r="BU60" s="16"/>
      <c r="BV60" s="56"/>
      <c r="BW60" s="16"/>
      <c r="BX60" s="16"/>
      <c r="BY60" s="16"/>
      <c r="BZ60" s="16"/>
      <c r="CA60" s="16"/>
      <c r="CB60" s="16"/>
      <c r="CC60" s="16"/>
      <c r="CD60" s="16"/>
      <c r="CE60" s="111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5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56"/>
      <c r="DZ60" s="56"/>
      <c r="EA60" s="56"/>
      <c r="EB60" s="56"/>
      <c r="EC60" s="56"/>
      <c r="ED60" s="56"/>
      <c r="EE60" s="56"/>
      <c r="EF60" s="56"/>
      <c r="EG60" s="56"/>
      <c r="EH60" s="56"/>
      <c r="EI60" s="56"/>
      <c r="EJ60" s="56"/>
      <c r="EK60" s="56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12"/>
      <c r="EW60" s="12"/>
      <c r="EX60" s="12"/>
      <c r="EY60" s="12"/>
      <c r="EZ60" s="12"/>
      <c r="FA60" s="12"/>
      <c r="FB60" s="12"/>
      <c r="FC60" s="12"/>
      <c r="FD60" s="12"/>
      <c r="FE60" s="12"/>
      <c r="FF60" s="12"/>
      <c r="FG60" s="12"/>
      <c r="FH60" s="12"/>
      <c r="FI60" s="12"/>
      <c r="FJ60" s="12"/>
      <c r="FK60" s="12"/>
      <c r="FL60" s="12"/>
      <c r="FM60" s="12"/>
      <c r="FN60" s="12"/>
      <c r="FO60" s="12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  <c r="GJ60" s="25"/>
      <c r="GK60" s="25"/>
      <c r="GL60" s="25"/>
      <c r="GM60" s="25"/>
      <c r="GN60" s="25"/>
      <c r="GO60" s="25"/>
      <c r="GP60" s="25"/>
      <c r="GQ60" s="25"/>
      <c r="GR60" s="25"/>
      <c r="GS60" s="25"/>
      <c r="GT60" s="25"/>
      <c r="GU60" s="25"/>
      <c r="GV60" s="25"/>
      <c r="GW60" s="25"/>
      <c r="GX60" s="25"/>
      <c r="GY60" s="25"/>
      <c r="GZ60" s="25"/>
      <c r="HA60" s="25"/>
      <c r="HB60" s="25"/>
      <c r="HC60" s="25"/>
      <c r="HD60" s="25"/>
      <c r="HE60" s="25"/>
      <c r="HF60" s="16"/>
      <c r="HG60" s="16"/>
      <c r="HH60" s="16"/>
      <c r="HI60" s="16"/>
      <c r="HJ60" s="16"/>
      <c r="HK60" s="16"/>
      <c r="HL60" s="16"/>
      <c r="HM60" s="51"/>
      <c r="HN60" s="51"/>
      <c r="HO60" s="51"/>
      <c r="HP60" s="51"/>
      <c r="HQ60" s="51"/>
      <c r="HR60" s="51"/>
      <c r="HS60"/>
      <c r="HT60"/>
      <c r="HU60"/>
      <c r="HV60"/>
    </row>
    <row r="61" spans="1:230" s="1" customFormat="1" x14ac:dyDescent="0.35">
      <c r="A61"/>
      <c r="B61"/>
      <c r="C61"/>
      <c r="D61"/>
      <c r="E61"/>
      <c r="F61"/>
      <c r="G61"/>
      <c r="H61" s="23"/>
      <c r="I61" s="23"/>
      <c r="J61"/>
      <c r="K61"/>
      <c r="L61"/>
      <c r="M61"/>
      <c r="N61"/>
      <c r="O61"/>
      <c r="P61"/>
      <c r="Q61"/>
      <c r="R61"/>
      <c r="T61" s="32"/>
      <c r="U61" s="4"/>
      <c r="AN61" s="32"/>
      <c r="AO61" s="16"/>
      <c r="AP61" s="16"/>
      <c r="AQ61" s="16"/>
      <c r="AR61" s="32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32"/>
      <c r="BE61" s="16"/>
      <c r="BF61" s="16"/>
      <c r="BG61" s="16"/>
      <c r="BH61" s="32"/>
      <c r="BI61" s="32"/>
      <c r="BJ61" s="32"/>
      <c r="BK61" s="32"/>
      <c r="BL61" s="32"/>
      <c r="BM61" s="32"/>
      <c r="BN61" s="16"/>
      <c r="BO61" s="16"/>
      <c r="BP61" s="16"/>
      <c r="BQ61" s="16"/>
      <c r="BR61" s="16"/>
      <c r="BS61" s="16"/>
      <c r="BT61" s="16"/>
      <c r="BU61" s="16"/>
      <c r="BV61" s="56"/>
      <c r="BW61" s="16"/>
      <c r="BX61" s="16"/>
      <c r="BY61" s="16"/>
      <c r="BZ61" s="16"/>
      <c r="CA61" s="16"/>
      <c r="CB61" s="16"/>
      <c r="CC61" s="16"/>
      <c r="CD61" s="16"/>
      <c r="CE61" s="111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5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56"/>
      <c r="DZ61" s="56"/>
      <c r="EA61" s="56"/>
      <c r="EB61" s="56"/>
      <c r="EC61" s="56"/>
      <c r="ED61" s="56"/>
      <c r="EE61" s="56"/>
      <c r="EF61" s="56"/>
      <c r="EG61" s="56"/>
      <c r="EH61" s="56"/>
      <c r="EI61" s="56"/>
      <c r="EJ61" s="56"/>
      <c r="EK61" s="56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  <c r="GR61" s="25"/>
      <c r="GS61" s="25"/>
      <c r="GT61" s="25"/>
      <c r="GU61" s="25"/>
      <c r="GV61" s="25"/>
      <c r="GW61" s="25"/>
      <c r="GX61" s="25"/>
      <c r="GY61" s="25"/>
      <c r="GZ61" s="25"/>
      <c r="HA61" s="25"/>
      <c r="HB61" s="25"/>
      <c r="HC61" s="25"/>
      <c r="HD61" s="25"/>
      <c r="HE61" s="25"/>
      <c r="HF61" s="16"/>
      <c r="HG61" s="16"/>
      <c r="HH61" s="16"/>
      <c r="HI61" s="16"/>
      <c r="HJ61" s="16"/>
      <c r="HK61" s="16"/>
      <c r="HL61" s="16"/>
      <c r="HM61" s="51"/>
      <c r="HN61" s="51"/>
      <c r="HO61" s="51"/>
      <c r="HP61" s="51"/>
      <c r="HQ61" s="51"/>
      <c r="HR61" s="51"/>
      <c r="HS61"/>
      <c r="HT61"/>
      <c r="HU61"/>
      <c r="HV61"/>
    </row>
    <row r="62" spans="1:230" s="1" customFormat="1" x14ac:dyDescent="0.35">
      <c r="A62"/>
      <c r="B62"/>
      <c r="C62"/>
      <c r="D62"/>
      <c r="E62"/>
      <c r="F62"/>
      <c r="G62"/>
      <c r="H62" s="23"/>
      <c r="I62" s="23"/>
      <c r="J62"/>
      <c r="K62"/>
      <c r="L62"/>
      <c r="M62"/>
      <c r="N62"/>
      <c r="O62"/>
      <c r="P62"/>
      <c r="Q62"/>
      <c r="R62"/>
      <c r="T62" s="32"/>
      <c r="U62" s="4"/>
      <c r="AN62" s="32"/>
      <c r="AO62" s="16"/>
      <c r="AP62" s="16"/>
      <c r="AQ62" s="16"/>
      <c r="AR62" s="32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32"/>
      <c r="BE62" s="16"/>
      <c r="BF62" s="16"/>
      <c r="BG62" s="16"/>
      <c r="BH62" s="32"/>
      <c r="BI62" s="32"/>
      <c r="BJ62" s="32"/>
      <c r="BK62" s="32"/>
      <c r="BL62" s="32"/>
      <c r="BM62" s="32"/>
      <c r="BN62" s="16"/>
      <c r="BO62" s="16"/>
      <c r="BP62" s="16"/>
      <c r="BQ62" s="16"/>
      <c r="BR62" s="16"/>
      <c r="BS62" s="16"/>
      <c r="BT62" s="16"/>
      <c r="BU62" s="16"/>
      <c r="BV62" s="56"/>
      <c r="BW62" s="16"/>
      <c r="BX62" s="16"/>
      <c r="BY62" s="16"/>
      <c r="BZ62" s="16"/>
      <c r="CA62" s="16"/>
      <c r="CB62" s="16"/>
      <c r="CC62" s="16"/>
      <c r="CD62" s="16"/>
      <c r="CE62" s="111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5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56"/>
      <c r="DZ62" s="56"/>
      <c r="EA62" s="56"/>
      <c r="EB62" s="56"/>
      <c r="EC62" s="56"/>
      <c r="ED62" s="56"/>
      <c r="EE62" s="56"/>
      <c r="EF62" s="56"/>
      <c r="EG62" s="56"/>
      <c r="EH62" s="56"/>
      <c r="EI62" s="56"/>
      <c r="EJ62" s="56"/>
      <c r="EK62" s="56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  <c r="FL62" s="12"/>
      <c r="FM62" s="12"/>
      <c r="FN62" s="12"/>
      <c r="FO62" s="12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16"/>
      <c r="HG62" s="16"/>
      <c r="HH62" s="16"/>
      <c r="HI62" s="16"/>
      <c r="HJ62" s="16"/>
      <c r="HK62" s="16"/>
      <c r="HL62" s="16"/>
      <c r="HM62" s="51"/>
      <c r="HN62" s="51"/>
      <c r="HO62" s="51"/>
      <c r="HP62" s="51"/>
      <c r="HQ62" s="51"/>
      <c r="HR62" s="51"/>
      <c r="HS62"/>
      <c r="HT62"/>
      <c r="HU62"/>
      <c r="HV62"/>
    </row>
    <row r="63" spans="1:230" s="1" customFormat="1" x14ac:dyDescent="0.35">
      <c r="A63"/>
      <c r="B63"/>
      <c r="C63"/>
      <c r="D63"/>
      <c r="E63"/>
      <c r="F63"/>
      <c r="G63"/>
      <c r="H63" s="23"/>
      <c r="I63" s="23"/>
      <c r="J63"/>
      <c r="K63"/>
      <c r="L63"/>
      <c r="M63"/>
      <c r="N63"/>
      <c r="O63"/>
      <c r="P63"/>
      <c r="Q63"/>
      <c r="R63"/>
      <c r="T63" s="32"/>
      <c r="U63" s="4"/>
      <c r="AN63" s="32"/>
      <c r="AO63" s="16"/>
      <c r="AP63" s="16"/>
      <c r="AQ63" s="16"/>
      <c r="AR63" s="32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32"/>
      <c r="BE63" s="16"/>
      <c r="BF63" s="16"/>
      <c r="BG63" s="16"/>
      <c r="BH63" s="32"/>
      <c r="BI63" s="32"/>
      <c r="BJ63" s="32"/>
      <c r="BK63" s="32"/>
      <c r="BL63" s="32"/>
      <c r="BM63" s="32"/>
      <c r="BN63" s="16"/>
      <c r="BO63" s="16"/>
      <c r="BP63" s="16"/>
      <c r="BQ63" s="16"/>
      <c r="BR63" s="16"/>
      <c r="BS63" s="16"/>
      <c r="BT63" s="16"/>
      <c r="BU63" s="16"/>
      <c r="BV63" s="56"/>
      <c r="BW63" s="16"/>
      <c r="BX63" s="16"/>
      <c r="BY63" s="16"/>
      <c r="BZ63" s="16"/>
      <c r="CA63" s="16"/>
      <c r="CB63" s="16"/>
      <c r="CC63" s="16"/>
      <c r="CD63" s="16"/>
      <c r="CE63" s="111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5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56"/>
      <c r="DZ63" s="56"/>
      <c r="EA63" s="56"/>
      <c r="EB63" s="56"/>
      <c r="EC63" s="56"/>
      <c r="ED63" s="56"/>
      <c r="EE63" s="56"/>
      <c r="EF63" s="56"/>
      <c r="EG63" s="56"/>
      <c r="EH63" s="56"/>
      <c r="EI63" s="56"/>
      <c r="EJ63" s="56"/>
      <c r="EK63" s="56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  <c r="EY63" s="12"/>
      <c r="EZ63" s="12"/>
      <c r="FA63" s="12"/>
      <c r="FB63" s="12"/>
      <c r="FC63" s="12"/>
      <c r="FD63" s="12"/>
      <c r="FE63" s="12"/>
      <c r="FF63" s="12"/>
      <c r="FG63" s="12"/>
      <c r="FH63" s="12"/>
      <c r="FI63" s="12"/>
      <c r="FJ63" s="12"/>
      <c r="FK63" s="12"/>
      <c r="FL63" s="12"/>
      <c r="FM63" s="12"/>
      <c r="FN63" s="12"/>
      <c r="FO63" s="12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  <c r="GR63" s="25"/>
      <c r="GS63" s="25"/>
      <c r="GT63" s="25"/>
      <c r="GU63" s="25"/>
      <c r="GV63" s="25"/>
      <c r="GW63" s="25"/>
      <c r="GX63" s="25"/>
      <c r="GY63" s="25"/>
      <c r="GZ63" s="25"/>
      <c r="HA63" s="25"/>
      <c r="HB63" s="25"/>
      <c r="HC63" s="25"/>
      <c r="HD63" s="25"/>
      <c r="HE63" s="25"/>
      <c r="HF63" s="16"/>
      <c r="HG63" s="16"/>
      <c r="HH63" s="16"/>
      <c r="HI63" s="16"/>
      <c r="HJ63" s="16"/>
      <c r="HK63" s="16"/>
      <c r="HL63" s="16"/>
      <c r="HM63" s="51"/>
      <c r="HN63" s="51"/>
      <c r="HO63" s="51"/>
      <c r="HP63" s="51"/>
      <c r="HQ63" s="51"/>
      <c r="HR63" s="51"/>
      <c r="HS63"/>
      <c r="HT63"/>
      <c r="HU63"/>
      <c r="HV63"/>
    </row>
    <row r="64" spans="1:230" s="1" customFormat="1" x14ac:dyDescent="0.35">
      <c r="A64"/>
      <c r="B64"/>
      <c r="C64"/>
      <c r="D64"/>
      <c r="E64"/>
      <c r="F64"/>
      <c r="G64"/>
      <c r="H64" s="23"/>
      <c r="I64" s="23"/>
      <c r="J64"/>
      <c r="K64"/>
      <c r="L64"/>
      <c r="M64"/>
      <c r="N64"/>
      <c r="O64"/>
      <c r="P64"/>
      <c r="Q64"/>
      <c r="R64"/>
      <c r="T64" s="32"/>
      <c r="U64" s="4"/>
      <c r="AN64" s="32"/>
      <c r="AO64" s="16"/>
      <c r="AP64" s="16"/>
      <c r="AQ64" s="16"/>
      <c r="AR64" s="32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32"/>
      <c r="BE64" s="16"/>
      <c r="BF64" s="16"/>
      <c r="BG64" s="16"/>
      <c r="BH64" s="32"/>
      <c r="BI64" s="32"/>
      <c r="BJ64" s="32"/>
      <c r="BK64" s="32"/>
      <c r="BL64" s="32"/>
      <c r="BM64" s="32"/>
      <c r="BN64" s="16"/>
      <c r="BO64" s="16"/>
      <c r="BP64" s="16"/>
      <c r="BQ64" s="16"/>
      <c r="BR64" s="16"/>
      <c r="BS64" s="16"/>
      <c r="BT64" s="16"/>
      <c r="BU64" s="16"/>
      <c r="BV64" s="56"/>
      <c r="BW64" s="16"/>
      <c r="BX64" s="16"/>
      <c r="BY64" s="16"/>
      <c r="BZ64" s="16"/>
      <c r="CA64" s="16"/>
      <c r="CB64" s="16"/>
      <c r="CC64" s="16"/>
      <c r="CD64" s="16"/>
      <c r="CE64" s="111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5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56"/>
      <c r="DZ64" s="56"/>
      <c r="EA64" s="56"/>
      <c r="EB64" s="56"/>
      <c r="EC64" s="56"/>
      <c r="ED64" s="56"/>
      <c r="EE64" s="56"/>
      <c r="EF64" s="56"/>
      <c r="EG64" s="56"/>
      <c r="EH64" s="56"/>
      <c r="EI64" s="56"/>
      <c r="EJ64" s="56"/>
      <c r="EK64" s="56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  <c r="EY64" s="12"/>
      <c r="EZ64" s="12"/>
      <c r="FA64" s="12"/>
      <c r="FB64" s="12"/>
      <c r="FC64" s="12"/>
      <c r="FD64" s="12"/>
      <c r="FE64" s="12"/>
      <c r="FF64" s="12"/>
      <c r="FG64" s="12"/>
      <c r="FH64" s="12"/>
      <c r="FI64" s="12"/>
      <c r="FJ64" s="12"/>
      <c r="FK64" s="12"/>
      <c r="FL64" s="12"/>
      <c r="FM64" s="12"/>
      <c r="FN64" s="12"/>
      <c r="FO64" s="12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  <c r="GR64" s="25"/>
      <c r="GS64" s="25"/>
      <c r="GT64" s="25"/>
      <c r="GU64" s="25"/>
      <c r="GV64" s="25"/>
      <c r="GW64" s="25"/>
      <c r="GX64" s="25"/>
      <c r="GY64" s="25"/>
      <c r="GZ64" s="25"/>
      <c r="HA64" s="25"/>
      <c r="HB64" s="25"/>
      <c r="HC64" s="25"/>
      <c r="HD64" s="25"/>
      <c r="HE64" s="25"/>
      <c r="HF64" s="16"/>
      <c r="HG64" s="16"/>
      <c r="HH64" s="16"/>
      <c r="HI64" s="16"/>
      <c r="HJ64" s="16"/>
      <c r="HK64" s="16"/>
      <c r="HL64" s="16"/>
      <c r="HM64" s="51"/>
      <c r="HN64" s="51"/>
      <c r="HO64" s="51"/>
      <c r="HP64" s="51"/>
      <c r="HQ64" s="51"/>
      <c r="HR64" s="51"/>
      <c r="HS64"/>
      <c r="HT64"/>
      <c r="HU64"/>
      <c r="HV64"/>
    </row>
    <row r="65" spans="1:230" s="1" customForma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T65" s="32"/>
      <c r="U65" s="4"/>
      <c r="AN65" s="32"/>
      <c r="AO65" s="16"/>
      <c r="AP65" s="16"/>
      <c r="AQ65" s="16"/>
      <c r="AR65" s="32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32"/>
      <c r="BE65" s="16"/>
      <c r="BF65" s="16"/>
      <c r="BG65" s="16"/>
      <c r="BH65" s="32"/>
      <c r="BI65" s="32"/>
      <c r="BJ65" s="32"/>
      <c r="BK65" s="32"/>
      <c r="BL65" s="32"/>
      <c r="BM65" s="32"/>
      <c r="BN65" s="16"/>
      <c r="BO65" s="16"/>
      <c r="BP65" s="16"/>
      <c r="BQ65" s="16"/>
      <c r="BR65" s="16"/>
      <c r="BS65" s="16"/>
      <c r="BT65" s="16"/>
      <c r="BU65" s="16"/>
      <c r="BV65" s="56"/>
      <c r="BW65" s="16"/>
      <c r="BX65" s="16"/>
      <c r="BY65" s="16"/>
      <c r="BZ65" s="16"/>
      <c r="CA65" s="16"/>
      <c r="CB65" s="16"/>
      <c r="CC65" s="16"/>
      <c r="CD65" s="16"/>
      <c r="CE65" s="111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5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56"/>
      <c r="DZ65" s="56"/>
      <c r="EA65" s="56"/>
      <c r="EB65" s="56"/>
      <c r="EC65" s="56"/>
      <c r="ED65" s="56"/>
      <c r="EE65" s="56"/>
      <c r="EF65" s="56"/>
      <c r="EG65" s="56"/>
      <c r="EH65" s="56"/>
      <c r="EI65" s="56"/>
      <c r="EJ65" s="56"/>
      <c r="EK65" s="56"/>
      <c r="EL65" s="12"/>
      <c r="EM65" s="12"/>
      <c r="EN65" s="12"/>
      <c r="EO65" s="12"/>
      <c r="EP65" s="12"/>
      <c r="EQ65" s="12"/>
      <c r="ER65" s="12"/>
      <c r="ES65" s="12"/>
      <c r="ET65" s="12"/>
      <c r="EU65" s="12"/>
      <c r="EV65" s="12"/>
      <c r="EW65" s="12"/>
      <c r="EX65" s="12"/>
      <c r="EY65" s="12"/>
      <c r="EZ65" s="12"/>
      <c r="FA65" s="12"/>
      <c r="FB65" s="12"/>
      <c r="FC65" s="12"/>
      <c r="FD65" s="12"/>
      <c r="FE65" s="12"/>
      <c r="FF65" s="12"/>
      <c r="FG65" s="12"/>
      <c r="FH65" s="12"/>
      <c r="FI65" s="12"/>
      <c r="FJ65" s="12"/>
      <c r="FK65" s="12"/>
      <c r="FL65" s="12"/>
      <c r="FM65" s="12"/>
      <c r="FN65" s="12"/>
      <c r="FO65" s="12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25"/>
      <c r="GM65" s="25"/>
      <c r="GN65" s="25"/>
      <c r="GO65" s="25"/>
      <c r="GP65" s="25"/>
      <c r="GQ65" s="25"/>
      <c r="GR65" s="25"/>
      <c r="GS65" s="25"/>
      <c r="GT65" s="25"/>
      <c r="GU65" s="25"/>
      <c r="GV65" s="25"/>
      <c r="GW65" s="25"/>
      <c r="GX65" s="25"/>
      <c r="GY65" s="25"/>
      <c r="GZ65" s="25"/>
      <c r="HA65" s="25"/>
      <c r="HB65" s="25"/>
      <c r="HC65" s="25"/>
      <c r="HD65" s="25"/>
      <c r="HE65" s="25"/>
      <c r="HF65" s="16"/>
      <c r="HG65" s="16"/>
      <c r="HH65" s="16"/>
      <c r="HI65" s="16"/>
      <c r="HJ65" s="16"/>
      <c r="HK65" s="16"/>
      <c r="HL65" s="16"/>
      <c r="HM65" s="51"/>
      <c r="HN65" s="51"/>
      <c r="HO65" s="51"/>
      <c r="HP65" s="51"/>
      <c r="HQ65" s="51"/>
      <c r="HR65" s="51"/>
      <c r="HS65"/>
      <c r="HT65"/>
      <c r="HU65"/>
      <c r="HV65"/>
    </row>
    <row r="66" spans="1:230" s="1" customForma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T66" s="32"/>
      <c r="U66" s="4"/>
      <c r="AN66" s="32"/>
      <c r="AO66" s="16"/>
      <c r="AP66" s="16"/>
      <c r="AQ66" s="16"/>
      <c r="AR66" s="32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32"/>
      <c r="BE66" s="16"/>
      <c r="BF66" s="16"/>
      <c r="BG66" s="16"/>
      <c r="BH66" s="32"/>
      <c r="BI66" s="32"/>
      <c r="BJ66" s="32"/>
      <c r="BK66" s="32"/>
      <c r="BL66" s="32"/>
      <c r="BM66" s="32"/>
      <c r="BN66" s="16"/>
      <c r="BO66" s="16"/>
      <c r="BP66" s="16"/>
      <c r="BQ66" s="16"/>
      <c r="BR66" s="16"/>
      <c r="BS66" s="16"/>
      <c r="BT66" s="16"/>
      <c r="BU66" s="16"/>
      <c r="BV66" s="56"/>
      <c r="BW66" s="16"/>
      <c r="BX66" s="16"/>
      <c r="BY66" s="16"/>
      <c r="BZ66" s="16"/>
      <c r="CA66" s="16"/>
      <c r="CB66" s="16"/>
      <c r="CC66" s="16"/>
      <c r="CD66" s="16"/>
      <c r="CE66" s="111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5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56"/>
      <c r="DZ66" s="56"/>
      <c r="EA66" s="56"/>
      <c r="EB66" s="56"/>
      <c r="EC66" s="56"/>
      <c r="ED66" s="56"/>
      <c r="EE66" s="56"/>
      <c r="EF66" s="56"/>
      <c r="EG66" s="56"/>
      <c r="EH66" s="56"/>
      <c r="EI66" s="56"/>
      <c r="EJ66" s="56"/>
      <c r="EK66" s="56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  <c r="FP66" s="25"/>
      <c r="FQ66" s="25"/>
      <c r="FR66" s="25"/>
      <c r="FS66" s="25"/>
      <c r="FT66" s="25"/>
      <c r="FU66" s="25"/>
      <c r="FV66" s="25"/>
      <c r="FW66" s="25"/>
      <c r="FX66" s="25"/>
      <c r="FY66" s="25"/>
      <c r="FZ66" s="25"/>
      <c r="GA66" s="25"/>
      <c r="GB66" s="25"/>
      <c r="GC66" s="25"/>
      <c r="GD66" s="25"/>
      <c r="GE66" s="25"/>
      <c r="GF66" s="25"/>
      <c r="GG66" s="25"/>
      <c r="GH66" s="25"/>
      <c r="GI66" s="25"/>
      <c r="GJ66" s="25"/>
      <c r="GK66" s="25"/>
      <c r="GL66" s="25"/>
      <c r="GM66" s="25"/>
      <c r="GN66" s="25"/>
      <c r="GO66" s="25"/>
      <c r="GP66" s="25"/>
      <c r="GQ66" s="25"/>
      <c r="GR66" s="25"/>
      <c r="GS66" s="25"/>
      <c r="GT66" s="25"/>
      <c r="GU66" s="25"/>
      <c r="GV66" s="25"/>
      <c r="GW66" s="25"/>
      <c r="GX66" s="25"/>
      <c r="GY66" s="25"/>
      <c r="GZ66" s="25"/>
      <c r="HA66" s="25"/>
      <c r="HB66" s="25"/>
      <c r="HC66" s="25"/>
      <c r="HD66" s="25"/>
      <c r="HE66" s="25"/>
      <c r="HF66" s="16"/>
      <c r="HG66" s="16"/>
      <c r="HH66" s="16"/>
      <c r="HI66" s="16"/>
      <c r="HJ66" s="16"/>
      <c r="HK66" s="16"/>
      <c r="HL66" s="16"/>
      <c r="HM66" s="51"/>
      <c r="HN66" s="51"/>
      <c r="HO66" s="51"/>
      <c r="HP66" s="51"/>
      <c r="HQ66" s="51"/>
      <c r="HR66" s="51"/>
      <c r="HS66"/>
      <c r="HT66"/>
      <c r="HU66"/>
      <c r="HV66"/>
    </row>
    <row r="67" spans="1:230" s="1" customForma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T67" s="32"/>
      <c r="U67" s="4"/>
      <c r="AN67" s="32"/>
      <c r="AO67" s="16"/>
      <c r="AP67" s="16"/>
      <c r="AQ67" s="16"/>
      <c r="AR67" s="32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32"/>
      <c r="BE67" s="16"/>
      <c r="BF67" s="16"/>
      <c r="BG67" s="16"/>
      <c r="BH67" s="32"/>
      <c r="BI67" s="32"/>
      <c r="BJ67" s="32"/>
      <c r="BK67" s="32"/>
      <c r="BL67" s="32"/>
      <c r="BM67" s="32"/>
      <c r="BN67" s="16"/>
      <c r="BO67" s="16"/>
      <c r="BP67" s="16"/>
      <c r="BQ67" s="16"/>
      <c r="BR67" s="16"/>
      <c r="BS67" s="16"/>
      <c r="BT67" s="16"/>
      <c r="BU67" s="16"/>
      <c r="BV67" s="56"/>
      <c r="BW67" s="16"/>
      <c r="BX67" s="16"/>
      <c r="BY67" s="16"/>
      <c r="BZ67" s="16"/>
      <c r="CA67" s="16"/>
      <c r="CB67" s="16"/>
      <c r="CC67" s="16"/>
      <c r="CD67" s="16"/>
      <c r="CE67" s="111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5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56"/>
      <c r="DZ67" s="56"/>
      <c r="EA67" s="56"/>
      <c r="EB67" s="56"/>
      <c r="EC67" s="56"/>
      <c r="ED67" s="56"/>
      <c r="EE67" s="56"/>
      <c r="EF67" s="56"/>
      <c r="EG67" s="56"/>
      <c r="EH67" s="56"/>
      <c r="EI67" s="56"/>
      <c r="EJ67" s="56"/>
      <c r="EK67" s="56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  <c r="EY67" s="12"/>
      <c r="EZ67" s="12"/>
      <c r="FA67" s="12"/>
      <c r="FB67" s="12"/>
      <c r="FC67" s="12"/>
      <c r="FD67" s="12"/>
      <c r="FE67" s="12"/>
      <c r="FF67" s="12"/>
      <c r="FG67" s="12"/>
      <c r="FH67" s="12"/>
      <c r="FI67" s="12"/>
      <c r="FJ67" s="12"/>
      <c r="FK67" s="12"/>
      <c r="FL67" s="12"/>
      <c r="FM67" s="12"/>
      <c r="FN67" s="12"/>
      <c r="FO67" s="12"/>
      <c r="FP67" s="25"/>
      <c r="FQ67" s="25"/>
      <c r="FR67" s="25"/>
      <c r="FS67" s="25"/>
      <c r="FT67" s="25"/>
      <c r="FU67" s="25"/>
      <c r="FV67" s="25"/>
      <c r="FW67" s="25"/>
      <c r="FX67" s="25"/>
      <c r="FY67" s="25"/>
      <c r="FZ67" s="25"/>
      <c r="GA67" s="25"/>
      <c r="GB67" s="25"/>
      <c r="GC67" s="25"/>
      <c r="GD67" s="25"/>
      <c r="GE67" s="25"/>
      <c r="GF67" s="25"/>
      <c r="GG67" s="25"/>
      <c r="GH67" s="25"/>
      <c r="GI67" s="25"/>
      <c r="GJ67" s="25"/>
      <c r="GK67" s="25"/>
      <c r="GL67" s="25"/>
      <c r="GM67" s="25"/>
      <c r="GN67" s="25"/>
      <c r="GO67" s="25"/>
      <c r="GP67" s="25"/>
      <c r="GQ67" s="25"/>
      <c r="GR67" s="25"/>
      <c r="GS67" s="25"/>
      <c r="GT67" s="25"/>
      <c r="GU67" s="25"/>
      <c r="GV67" s="25"/>
      <c r="GW67" s="25"/>
      <c r="GX67" s="25"/>
      <c r="GY67" s="25"/>
      <c r="GZ67" s="25"/>
      <c r="HA67" s="25"/>
      <c r="HB67" s="25"/>
      <c r="HC67" s="25"/>
      <c r="HD67" s="25"/>
      <c r="HE67" s="25"/>
      <c r="HF67" s="16"/>
      <c r="HG67" s="16"/>
      <c r="HH67" s="16"/>
      <c r="HI67" s="16"/>
      <c r="HJ67" s="16"/>
      <c r="HK67" s="16"/>
      <c r="HL67" s="16"/>
      <c r="HM67" s="51"/>
      <c r="HN67" s="51"/>
      <c r="HO67" s="51"/>
      <c r="HP67" s="51"/>
      <c r="HQ67" s="51"/>
      <c r="HR67" s="51"/>
      <c r="HS67"/>
      <c r="HT67"/>
      <c r="HU67"/>
      <c r="HV67"/>
    </row>
    <row r="68" spans="1:230" s="1" customForma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T68" s="32"/>
      <c r="U68" s="4"/>
      <c r="AN68" s="32"/>
      <c r="AO68" s="16"/>
      <c r="AP68" s="16"/>
      <c r="AQ68" s="16"/>
      <c r="AR68" s="32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32"/>
      <c r="BE68" s="16"/>
      <c r="BF68" s="16"/>
      <c r="BG68" s="16"/>
      <c r="BH68" s="32"/>
      <c r="BI68" s="32"/>
      <c r="BJ68" s="32"/>
      <c r="BK68" s="32"/>
      <c r="BL68" s="32"/>
      <c r="BM68" s="32"/>
      <c r="BN68" s="16"/>
      <c r="BO68" s="16"/>
      <c r="BP68" s="16"/>
      <c r="BQ68" s="16"/>
      <c r="BR68" s="16"/>
      <c r="BS68" s="16"/>
      <c r="BT68" s="16"/>
      <c r="BU68" s="16"/>
      <c r="BV68" s="56"/>
      <c r="BW68" s="16"/>
      <c r="BX68" s="16"/>
      <c r="BY68" s="16"/>
      <c r="BZ68" s="16"/>
      <c r="CA68" s="16"/>
      <c r="CB68" s="16"/>
      <c r="CC68" s="16"/>
      <c r="CD68" s="16"/>
      <c r="CE68" s="111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5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56"/>
      <c r="DZ68" s="56"/>
      <c r="EA68" s="56"/>
      <c r="EB68" s="56"/>
      <c r="EC68" s="56"/>
      <c r="ED68" s="56"/>
      <c r="EE68" s="56"/>
      <c r="EF68" s="56"/>
      <c r="EG68" s="56"/>
      <c r="EH68" s="56"/>
      <c r="EI68" s="56"/>
      <c r="EJ68" s="56"/>
      <c r="EK68" s="56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25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25"/>
      <c r="GM68" s="25"/>
      <c r="GN68" s="25"/>
      <c r="GO68" s="25"/>
      <c r="GP68" s="25"/>
      <c r="GQ68" s="25"/>
      <c r="GR68" s="25"/>
      <c r="GS68" s="25"/>
      <c r="GT68" s="25"/>
      <c r="GU68" s="25"/>
      <c r="GV68" s="25"/>
      <c r="GW68" s="25"/>
      <c r="GX68" s="25"/>
      <c r="GY68" s="25"/>
      <c r="GZ68" s="25"/>
      <c r="HA68" s="25"/>
      <c r="HB68" s="25"/>
      <c r="HC68" s="25"/>
      <c r="HD68" s="25"/>
      <c r="HE68" s="25"/>
      <c r="HF68" s="16"/>
      <c r="HG68" s="16"/>
      <c r="HH68" s="16"/>
      <c r="HI68" s="16"/>
      <c r="HJ68" s="16"/>
      <c r="HK68" s="16"/>
      <c r="HL68" s="16"/>
      <c r="HM68" s="51"/>
      <c r="HN68" s="51"/>
      <c r="HO68" s="51"/>
      <c r="HP68" s="51"/>
      <c r="HQ68" s="51"/>
      <c r="HR68" s="51"/>
      <c r="HS68"/>
      <c r="HT68"/>
      <c r="HU68"/>
      <c r="HV68"/>
    </row>
    <row r="69" spans="1:230" s="1" customForma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T69" s="32"/>
      <c r="U69" s="4"/>
      <c r="AN69" s="32"/>
      <c r="AO69" s="16"/>
      <c r="AP69" s="16"/>
      <c r="AQ69" s="16"/>
      <c r="AR69" s="32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32"/>
      <c r="BE69" s="16"/>
      <c r="BF69" s="16"/>
      <c r="BG69" s="16"/>
      <c r="BH69" s="32"/>
      <c r="BI69" s="32"/>
      <c r="BJ69" s="32"/>
      <c r="BK69" s="32"/>
      <c r="BL69" s="32"/>
      <c r="BM69" s="32"/>
      <c r="BN69" s="16"/>
      <c r="BO69" s="16"/>
      <c r="BP69" s="16"/>
      <c r="BQ69" s="16"/>
      <c r="BR69" s="16"/>
      <c r="BS69" s="16"/>
      <c r="BT69" s="16"/>
      <c r="BU69" s="16"/>
      <c r="BV69" s="56"/>
      <c r="BW69" s="16"/>
      <c r="BX69" s="16"/>
      <c r="BY69" s="16"/>
      <c r="BZ69" s="16"/>
      <c r="CA69" s="16"/>
      <c r="CB69" s="16"/>
      <c r="CC69" s="16"/>
      <c r="CD69" s="16"/>
      <c r="CE69" s="111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5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56"/>
      <c r="DZ69" s="56"/>
      <c r="EA69" s="56"/>
      <c r="EB69" s="56"/>
      <c r="EC69" s="56"/>
      <c r="ED69" s="56"/>
      <c r="EE69" s="56"/>
      <c r="EF69" s="56"/>
      <c r="EG69" s="56"/>
      <c r="EH69" s="56"/>
      <c r="EI69" s="56"/>
      <c r="EJ69" s="56"/>
      <c r="EK69" s="56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  <c r="GR69" s="25"/>
      <c r="GS69" s="25"/>
      <c r="GT69" s="25"/>
      <c r="GU69" s="25"/>
      <c r="GV69" s="25"/>
      <c r="GW69" s="25"/>
      <c r="GX69" s="25"/>
      <c r="GY69" s="25"/>
      <c r="GZ69" s="25"/>
      <c r="HA69" s="25"/>
      <c r="HB69" s="25"/>
      <c r="HC69" s="25"/>
      <c r="HD69" s="25"/>
      <c r="HE69" s="25"/>
      <c r="HF69" s="16"/>
      <c r="HG69" s="16"/>
      <c r="HH69" s="16"/>
      <c r="HI69" s="16"/>
      <c r="HJ69" s="16"/>
      <c r="HK69" s="16"/>
      <c r="HL69" s="16"/>
      <c r="HM69" s="51"/>
      <c r="HN69" s="51"/>
      <c r="HO69" s="51"/>
      <c r="HP69" s="51"/>
      <c r="HQ69" s="51"/>
      <c r="HR69" s="51"/>
      <c r="HS69"/>
      <c r="HT69"/>
      <c r="HU69"/>
      <c r="HV69"/>
    </row>
    <row r="70" spans="1:230" s="1" customForma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T70" s="32"/>
      <c r="U70" s="4"/>
      <c r="AN70" s="32"/>
      <c r="AO70" s="16"/>
      <c r="AP70" s="16"/>
      <c r="AQ70" s="16"/>
      <c r="AR70" s="32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32"/>
      <c r="BE70" s="16"/>
      <c r="BF70" s="16"/>
      <c r="BG70" s="16"/>
      <c r="BH70" s="32"/>
      <c r="BI70" s="32"/>
      <c r="BJ70" s="32"/>
      <c r="BK70" s="32"/>
      <c r="BL70" s="32"/>
      <c r="BM70" s="32"/>
      <c r="BN70" s="16"/>
      <c r="BO70" s="16"/>
      <c r="BP70" s="16"/>
      <c r="BQ70" s="16"/>
      <c r="BR70" s="16"/>
      <c r="BS70" s="16"/>
      <c r="BT70" s="16"/>
      <c r="BU70" s="16"/>
      <c r="BV70" s="56"/>
      <c r="BW70" s="16"/>
      <c r="BX70" s="16"/>
      <c r="BY70" s="16"/>
      <c r="BZ70" s="16"/>
      <c r="CA70" s="16"/>
      <c r="CB70" s="16"/>
      <c r="CC70" s="16"/>
      <c r="CD70" s="16"/>
      <c r="CE70" s="111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5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56"/>
      <c r="DZ70" s="56"/>
      <c r="EA70" s="56"/>
      <c r="EB70" s="56"/>
      <c r="EC70" s="56"/>
      <c r="ED70" s="56"/>
      <c r="EE70" s="56"/>
      <c r="EF70" s="56"/>
      <c r="EG70" s="56"/>
      <c r="EH70" s="56"/>
      <c r="EI70" s="56"/>
      <c r="EJ70" s="56"/>
      <c r="EK70" s="56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  <c r="GR70" s="25"/>
      <c r="GS70" s="25"/>
      <c r="GT70" s="25"/>
      <c r="GU70" s="25"/>
      <c r="GV70" s="25"/>
      <c r="GW70" s="25"/>
      <c r="GX70" s="25"/>
      <c r="GY70" s="25"/>
      <c r="GZ70" s="25"/>
      <c r="HA70" s="25"/>
      <c r="HB70" s="25"/>
      <c r="HC70" s="25"/>
      <c r="HD70" s="25"/>
      <c r="HE70" s="25"/>
      <c r="HF70" s="16"/>
      <c r="HG70" s="16"/>
      <c r="HH70" s="16"/>
      <c r="HI70" s="16"/>
      <c r="HJ70" s="16"/>
      <c r="HK70" s="16"/>
      <c r="HL70" s="16"/>
      <c r="HM70" s="51"/>
      <c r="HN70" s="51"/>
      <c r="HO70" s="51"/>
      <c r="HP70" s="51"/>
      <c r="HQ70" s="51"/>
      <c r="HR70" s="51"/>
      <c r="HS70"/>
      <c r="HT70"/>
      <c r="HU70"/>
      <c r="HV70"/>
    </row>
    <row r="71" spans="1:230" s="1" customForma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T71" s="32"/>
      <c r="U71" s="4"/>
      <c r="AN71" s="32"/>
      <c r="AO71" s="16"/>
      <c r="AP71" s="16"/>
      <c r="AQ71" s="16"/>
      <c r="AR71" s="32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32"/>
      <c r="BE71" s="16"/>
      <c r="BF71" s="16"/>
      <c r="BG71" s="16"/>
      <c r="BH71" s="32"/>
      <c r="BI71" s="32"/>
      <c r="BJ71" s="32"/>
      <c r="BK71" s="32"/>
      <c r="BL71" s="32"/>
      <c r="BM71" s="32"/>
      <c r="BN71" s="16"/>
      <c r="BO71" s="16"/>
      <c r="BP71" s="16"/>
      <c r="BQ71" s="16"/>
      <c r="BR71" s="16"/>
      <c r="BS71" s="16"/>
      <c r="BT71" s="16"/>
      <c r="BU71" s="16"/>
      <c r="BV71" s="56"/>
      <c r="BW71" s="16"/>
      <c r="BX71" s="16"/>
      <c r="BY71" s="16"/>
      <c r="BZ71" s="16"/>
      <c r="CA71" s="16"/>
      <c r="CB71" s="16"/>
      <c r="CC71" s="16"/>
      <c r="CD71" s="16"/>
      <c r="CE71" s="111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5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56"/>
      <c r="DZ71" s="56"/>
      <c r="EA71" s="56"/>
      <c r="EB71" s="56"/>
      <c r="EC71" s="56"/>
      <c r="ED71" s="56"/>
      <c r="EE71" s="56"/>
      <c r="EF71" s="56"/>
      <c r="EG71" s="56"/>
      <c r="EH71" s="56"/>
      <c r="EI71" s="56"/>
      <c r="EJ71" s="56"/>
      <c r="EK71" s="56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  <c r="FL71" s="12"/>
      <c r="FM71" s="12"/>
      <c r="FN71" s="12"/>
      <c r="FO71" s="12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25"/>
      <c r="GB71" s="25"/>
      <c r="GC71" s="25"/>
      <c r="GD71" s="25"/>
      <c r="GE71" s="25"/>
      <c r="GF71" s="25"/>
      <c r="GG71" s="25"/>
      <c r="GH71" s="25"/>
      <c r="GI71" s="25"/>
      <c r="GJ71" s="25"/>
      <c r="GK71" s="25"/>
      <c r="GL71" s="25"/>
      <c r="GM71" s="25"/>
      <c r="GN71" s="25"/>
      <c r="GO71" s="25"/>
      <c r="GP71" s="25"/>
      <c r="GQ71" s="25"/>
      <c r="GR71" s="25"/>
      <c r="GS71" s="25"/>
      <c r="GT71" s="25"/>
      <c r="GU71" s="25"/>
      <c r="GV71" s="25"/>
      <c r="GW71" s="25"/>
      <c r="GX71" s="25"/>
      <c r="GY71" s="25"/>
      <c r="GZ71" s="25"/>
      <c r="HA71" s="25"/>
      <c r="HB71" s="25"/>
      <c r="HC71" s="25"/>
      <c r="HD71" s="25"/>
      <c r="HE71" s="25"/>
      <c r="HF71" s="16"/>
      <c r="HG71" s="16"/>
      <c r="HH71" s="16"/>
      <c r="HI71" s="16"/>
      <c r="HJ71" s="16"/>
      <c r="HK71" s="16"/>
      <c r="HL71" s="16"/>
      <c r="HM71" s="51"/>
      <c r="HN71" s="51"/>
      <c r="HO71" s="51"/>
      <c r="HP71" s="51"/>
      <c r="HQ71" s="51"/>
      <c r="HR71" s="51"/>
      <c r="HS71"/>
      <c r="HT71"/>
      <c r="HU71"/>
      <c r="HV71"/>
    </row>
    <row r="72" spans="1:230" s="1" customForma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T72" s="32"/>
      <c r="U72" s="4"/>
      <c r="AN72" s="32"/>
      <c r="AO72" s="16"/>
      <c r="AP72" s="16"/>
      <c r="AQ72" s="16"/>
      <c r="AR72" s="32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32"/>
      <c r="BE72" s="16"/>
      <c r="BF72" s="16"/>
      <c r="BG72" s="16"/>
      <c r="BH72" s="32"/>
      <c r="BI72" s="32"/>
      <c r="BJ72" s="32"/>
      <c r="BK72" s="32"/>
      <c r="BL72" s="32"/>
      <c r="BM72" s="32"/>
      <c r="BN72" s="16"/>
      <c r="BO72" s="16"/>
      <c r="BP72" s="16"/>
      <c r="BQ72" s="16"/>
      <c r="BR72" s="16"/>
      <c r="BS72" s="16"/>
      <c r="BT72" s="16"/>
      <c r="BU72" s="16"/>
      <c r="BV72" s="56"/>
      <c r="BW72" s="16"/>
      <c r="BX72" s="16"/>
      <c r="BY72" s="16"/>
      <c r="BZ72" s="16"/>
      <c r="CA72" s="16"/>
      <c r="CB72" s="16"/>
      <c r="CC72" s="16"/>
      <c r="CD72" s="16"/>
      <c r="CE72" s="111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5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56"/>
      <c r="DZ72" s="56"/>
      <c r="EA72" s="56"/>
      <c r="EB72" s="56"/>
      <c r="EC72" s="56"/>
      <c r="ED72" s="56"/>
      <c r="EE72" s="56"/>
      <c r="EF72" s="56"/>
      <c r="EG72" s="56"/>
      <c r="EH72" s="56"/>
      <c r="EI72" s="56"/>
      <c r="EJ72" s="56"/>
      <c r="EK72" s="56"/>
      <c r="EL72" s="12"/>
      <c r="EM72" s="12"/>
      <c r="EN72" s="12"/>
      <c r="EO72" s="12"/>
      <c r="EP72" s="12"/>
      <c r="EQ72" s="12"/>
      <c r="ER72" s="12"/>
      <c r="ES72" s="12"/>
      <c r="ET72" s="12"/>
      <c r="EU72" s="12"/>
      <c r="EV72" s="12"/>
      <c r="EW72" s="12"/>
      <c r="EX72" s="12"/>
      <c r="EY72" s="12"/>
      <c r="EZ72" s="12"/>
      <c r="FA72" s="12"/>
      <c r="FB72" s="12"/>
      <c r="FC72" s="12"/>
      <c r="FD72" s="12"/>
      <c r="FE72" s="12"/>
      <c r="FF72" s="12"/>
      <c r="FG72" s="12"/>
      <c r="FH72" s="12"/>
      <c r="FI72" s="12"/>
      <c r="FJ72" s="12"/>
      <c r="FK72" s="12"/>
      <c r="FL72" s="12"/>
      <c r="FM72" s="12"/>
      <c r="FN72" s="12"/>
      <c r="FO72" s="12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  <c r="GR72" s="25"/>
      <c r="GS72" s="25"/>
      <c r="GT72" s="25"/>
      <c r="GU72" s="25"/>
      <c r="GV72" s="25"/>
      <c r="GW72" s="25"/>
      <c r="GX72" s="25"/>
      <c r="GY72" s="25"/>
      <c r="GZ72" s="25"/>
      <c r="HA72" s="25"/>
      <c r="HB72" s="25"/>
      <c r="HC72" s="25"/>
      <c r="HD72" s="25"/>
      <c r="HE72" s="25"/>
      <c r="HF72" s="16"/>
      <c r="HG72" s="16"/>
      <c r="HH72" s="16"/>
      <c r="HI72" s="16"/>
      <c r="HJ72" s="16"/>
      <c r="HK72" s="16"/>
      <c r="HL72" s="16"/>
      <c r="HM72" s="51"/>
      <c r="HN72" s="51"/>
      <c r="HO72" s="51"/>
      <c r="HP72" s="51"/>
      <c r="HQ72" s="51"/>
      <c r="HR72" s="51"/>
      <c r="HS72"/>
      <c r="HT72"/>
      <c r="HU72"/>
      <c r="HV72"/>
    </row>
    <row r="73" spans="1:230" s="1" customForma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T73" s="32"/>
      <c r="U73" s="4"/>
      <c r="AN73" s="32"/>
      <c r="AO73" s="16"/>
      <c r="AP73" s="16"/>
      <c r="AQ73" s="16"/>
      <c r="AR73" s="32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32"/>
      <c r="BE73" s="16"/>
      <c r="BF73" s="16"/>
      <c r="BG73" s="16"/>
      <c r="BH73" s="32"/>
      <c r="BI73" s="32"/>
      <c r="BJ73" s="32"/>
      <c r="BK73" s="32"/>
      <c r="BL73" s="32"/>
      <c r="BM73" s="32"/>
      <c r="BN73" s="16"/>
      <c r="BO73" s="16"/>
      <c r="BP73" s="16"/>
      <c r="BQ73" s="16"/>
      <c r="BR73" s="16"/>
      <c r="BS73" s="16"/>
      <c r="BT73" s="16"/>
      <c r="BU73" s="16"/>
      <c r="BV73" s="56"/>
      <c r="BW73" s="16"/>
      <c r="BX73" s="16"/>
      <c r="BY73" s="16"/>
      <c r="BZ73" s="16"/>
      <c r="CA73" s="16"/>
      <c r="CB73" s="16"/>
      <c r="CC73" s="16"/>
      <c r="CD73" s="16"/>
      <c r="CE73" s="111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5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56"/>
      <c r="DZ73" s="56"/>
      <c r="EA73" s="56"/>
      <c r="EB73" s="56"/>
      <c r="EC73" s="56"/>
      <c r="ED73" s="56"/>
      <c r="EE73" s="56"/>
      <c r="EF73" s="56"/>
      <c r="EG73" s="56"/>
      <c r="EH73" s="56"/>
      <c r="EI73" s="56"/>
      <c r="EJ73" s="56"/>
      <c r="EK73" s="56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  <c r="EY73" s="12"/>
      <c r="EZ73" s="12"/>
      <c r="FA73" s="12"/>
      <c r="FB73" s="12"/>
      <c r="FC73" s="12"/>
      <c r="FD73" s="12"/>
      <c r="FE73" s="12"/>
      <c r="FF73" s="12"/>
      <c r="FG73" s="12"/>
      <c r="FH73" s="12"/>
      <c r="FI73" s="12"/>
      <c r="FJ73" s="12"/>
      <c r="FK73" s="12"/>
      <c r="FL73" s="12"/>
      <c r="FM73" s="12"/>
      <c r="FN73" s="12"/>
      <c r="FO73" s="12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  <c r="GR73" s="25"/>
      <c r="GS73" s="25"/>
      <c r="GT73" s="25"/>
      <c r="GU73" s="25"/>
      <c r="GV73" s="25"/>
      <c r="GW73" s="25"/>
      <c r="GX73" s="25"/>
      <c r="GY73" s="25"/>
      <c r="GZ73" s="25"/>
      <c r="HA73" s="25"/>
      <c r="HB73" s="25"/>
      <c r="HC73" s="25"/>
      <c r="HD73" s="25"/>
      <c r="HE73" s="25"/>
      <c r="HF73" s="16"/>
      <c r="HG73" s="16"/>
      <c r="HH73" s="16"/>
      <c r="HI73" s="16"/>
      <c r="HJ73" s="16"/>
      <c r="HK73" s="16"/>
      <c r="HL73" s="16"/>
      <c r="HM73" s="51"/>
      <c r="HN73" s="51"/>
      <c r="HO73" s="51"/>
      <c r="HP73" s="51"/>
      <c r="HQ73" s="51"/>
      <c r="HR73" s="51"/>
      <c r="HS73"/>
      <c r="HT73"/>
      <c r="HU73"/>
      <c r="HV73"/>
    </row>
    <row r="74" spans="1:230" s="1" customForma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T74" s="32"/>
      <c r="U74" s="4"/>
      <c r="AN74" s="32"/>
      <c r="AO74" s="16"/>
      <c r="AP74" s="16"/>
      <c r="AQ74" s="16"/>
      <c r="AR74" s="32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32"/>
      <c r="BE74" s="16"/>
      <c r="BF74" s="16"/>
      <c r="BG74" s="16"/>
      <c r="BH74" s="32"/>
      <c r="BI74" s="32"/>
      <c r="BJ74" s="32"/>
      <c r="BK74" s="32"/>
      <c r="BL74" s="32"/>
      <c r="BM74" s="32"/>
      <c r="BN74" s="16"/>
      <c r="BO74" s="16"/>
      <c r="BP74" s="16"/>
      <c r="BQ74" s="16"/>
      <c r="BR74" s="16"/>
      <c r="BS74" s="16"/>
      <c r="BT74" s="16"/>
      <c r="BU74" s="16"/>
      <c r="BV74" s="56"/>
      <c r="BW74" s="16"/>
      <c r="BX74" s="16"/>
      <c r="BY74" s="16"/>
      <c r="BZ74" s="16"/>
      <c r="CA74" s="16"/>
      <c r="CB74" s="16"/>
      <c r="CC74" s="16"/>
      <c r="CD74" s="16"/>
      <c r="CE74" s="111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5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56"/>
      <c r="DZ74" s="56"/>
      <c r="EA74" s="56"/>
      <c r="EB74" s="56"/>
      <c r="EC74" s="56"/>
      <c r="ED74" s="56"/>
      <c r="EE74" s="56"/>
      <c r="EF74" s="56"/>
      <c r="EG74" s="56"/>
      <c r="EH74" s="56"/>
      <c r="EI74" s="56"/>
      <c r="EJ74" s="56"/>
      <c r="EK74" s="56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  <c r="GR74" s="25"/>
      <c r="GS74" s="25"/>
      <c r="GT74" s="25"/>
      <c r="GU74" s="25"/>
      <c r="GV74" s="25"/>
      <c r="GW74" s="25"/>
      <c r="GX74" s="25"/>
      <c r="GY74" s="25"/>
      <c r="GZ74" s="25"/>
      <c r="HA74" s="25"/>
      <c r="HB74" s="25"/>
      <c r="HC74" s="25"/>
      <c r="HD74" s="25"/>
      <c r="HE74" s="25"/>
      <c r="HF74" s="16"/>
      <c r="HG74" s="16"/>
      <c r="HH74" s="16"/>
      <c r="HI74" s="16"/>
      <c r="HJ74" s="16"/>
      <c r="HK74" s="16"/>
      <c r="HL74" s="16"/>
      <c r="HM74" s="51"/>
      <c r="HN74" s="51"/>
      <c r="HO74" s="51"/>
      <c r="HP74" s="51"/>
      <c r="HQ74" s="51"/>
      <c r="HR74" s="51"/>
      <c r="HS74"/>
      <c r="HT74"/>
      <c r="HU74"/>
      <c r="HV74"/>
    </row>
    <row r="75" spans="1:230" s="1" customForma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T75" s="32"/>
      <c r="U75" s="4"/>
      <c r="AN75" s="32"/>
      <c r="AO75" s="16"/>
      <c r="AP75" s="16"/>
      <c r="AQ75" s="16"/>
      <c r="AR75" s="32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32"/>
      <c r="BE75" s="16"/>
      <c r="BF75" s="16"/>
      <c r="BG75" s="16"/>
      <c r="BH75" s="32"/>
      <c r="BI75" s="32"/>
      <c r="BJ75" s="32"/>
      <c r="BK75" s="32"/>
      <c r="BL75" s="32"/>
      <c r="BM75" s="32"/>
      <c r="BN75" s="16"/>
      <c r="BO75" s="16"/>
      <c r="BP75" s="16"/>
      <c r="BQ75" s="16"/>
      <c r="BR75" s="16"/>
      <c r="BS75" s="16"/>
      <c r="BT75" s="16"/>
      <c r="BU75" s="16"/>
      <c r="BV75" s="56"/>
      <c r="BW75" s="16"/>
      <c r="BX75" s="16"/>
      <c r="BY75" s="16"/>
      <c r="BZ75" s="16"/>
      <c r="CA75" s="16"/>
      <c r="CB75" s="16"/>
      <c r="CC75" s="16"/>
      <c r="CD75" s="16"/>
      <c r="CE75" s="111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5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56"/>
      <c r="DZ75" s="56"/>
      <c r="EA75" s="56"/>
      <c r="EB75" s="56"/>
      <c r="EC75" s="56"/>
      <c r="ED75" s="56"/>
      <c r="EE75" s="56"/>
      <c r="EF75" s="56"/>
      <c r="EG75" s="56"/>
      <c r="EH75" s="56"/>
      <c r="EI75" s="56"/>
      <c r="EJ75" s="56"/>
      <c r="EK75" s="56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  <c r="FM75" s="12"/>
      <c r="FN75" s="12"/>
      <c r="FO75" s="12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  <c r="GR75" s="25"/>
      <c r="GS75" s="25"/>
      <c r="GT75" s="25"/>
      <c r="GU75" s="25"/>
      <c r="GV75" s="25"/>
      <c r="GW75" s="25"/>
      <c r="GX75" s="25"/>
      <c r="GY75" s="25"/>
      <c r="GZ75" s="25"/>
      <c r="HA75" s="25"/>
      <c r="HB75" s="25"/>
      <c r="HC75" s="25"/>
      <c r="HD75" s="25"/>
      <c r="HE75" s="25"/>
      <c r="HF75" s="16"/>
      <c r="HG75" s="16"/>
      <c r="HH75" s="16"/>
      <c r="HI75" s="16"/>
      <c r="HJ75" s="16"/>
      <c r="HK75" s="16"/>
      <c r="HL75" s="16"/>
      <c r="HM75" s="51"/>
      <c r="HN75" s="51"/>
      <c r="HO75" s="51"/>
      <c r="HP75" s="51"/>
      <c r="HQ75" s="51"/>
      <c r="HR75" s="51"/>
      <c r="HS75"/>
      <c r="HT75"/>
      <c r="HU75"/>
      <c r="HV75"/>
    </row>
    <row r="76" spans="1:230" s="1" customForma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T76" s="32"/>
      <c r="U76" s="4"/>
      <c r="AN76" s="32"/>
      <c r="AO76" s="16"/>
      <c r="AP76" s="16"/>
      <c r="AQ76" s="16"/>
      <c r="AR76" s="32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32"/>
      <c r="BE76" s="16"/>
      <c r="BF76" s="16"/>
      <c r="BG76" s="16"/>
      <c r="BH76" s="32"/>
      <c r="BI76" s="32"/>
      <c r="BJ76" s="32"/>
      <c r="BK76" s="32"/>
      <c r="BL76" s="32"/>
      <c r="BM76" s="32"/>
      <c r="BN76" s="16"/>
      <c r="BO76" s="16"/>
      <c r="BP76" s="16"/>
      <c r="BQ76" s="16"/>
      <c r="BR76" s="16"/>
      <c r="BS76" s="16"/>
      <c r="BT76" s="16"/>
      <c r="BU76" s="16"/>
      <c r="BV76" s="56"/>
      <c r="BW76" s="16"/>
      <c r="BX76" s="16"/>
      <c r="BY76" s="16"/>
      <c r="BZ76" s="16"/>
      <c r="CA76" s="16"/>
      <c r="CB76" s="16"/>
      <c r="CC76" s="16"/>
      <c r="CD76" s="16"/>
      <c r="CE76" s="111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5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56"/>
      <c r="DZ76" s="56"/>
      <c r="EA76" s="56"/>
      <c r="EB76" s="56"/>
      <c r="EC76" s="56"/>
      <c r="ED76" s="56"/>
      <c r="EE76" s="56"/>
      <c r="EF76" s="56"/>
      <c r="EG76" s="56"/>
      <c r="EH76" s="56"/>
      <c r="EI76" s="56"/>
      <c r="EJ76" s="56"/>
      <c r="EK76" s="56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  <c r="EY76" s="12"/>
      <c r="EZ76" s="12"/>
      <c r="FA76" s="12"/>
      <c r="FB76" s="12"/>
      <c r="FC76" s="12"/>
      <c r="FD76" s="12"/>
      <c r="FE76" s="12"/>
      <c r="FF76" s="12"/>
      <c r="FG76" s="12"/>
      <c r="FH76" s="12"/>
      <c r="FI76" s="12"/>
      <c r="FJ76" s="12"/>
      <c r="FK76" s="12"/>
      <c r="FL76" s="12"/>
      <c r="FM76" s="12"/>
      <c r="FN76" s="12"/>
      <c r="FO76" s="12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  <c r="GP76" s="25"/>
      <c r="GQ76" s="25"/>
      <c r="GR76" s="25"/>
      <c r="GS76" s="25"/>
      <c r="GT76" s="25"/>
      <c r="GU76" s="25"/>
      <c r="GV76" s="25"/>
      <c r="GW76" s="25"/>
      <c r="GX76" s="25"/>
      <c r="GY76" s="25"/>
      <c r="GZ76" s="25"/>
      <c r="HA76" s="25"/>
      <c r="HB76" s="25"/>
      <c r="HC76" s="25"/>
      <c r="HD76" s="25"/>
      <c r="HE76" s="25"/>
      <c r="HF76" s="16"/>
      <c r="HG76" s="16"/>
      <c r="HH76" s="16"/>
      <c r="HI76" s="16"/>
      <c r="HJ76" s="16"/>
      <c r="HK76" s="16"/>
      <c r="HL76" s="16"/>
      <c r="HM76" s="51"/>
      <c r="HN76" s="51"/>
      <c r="HO76" s="51"/>
      <c r="HP76" s="51"/>
      <c r="HQ76" s="51"/>
      <c r="HR76" s="51"/>
      <c r="HS76"/>
      <c r="HT76"/>
      <c r="HU76"/>
      <c r="HV76"/>
    </row>
    <row r="77" spans="1:230" s="1" customForma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T77" s="32"/>
      <c r="U77" s="4"/>
      <c r="AN77" s="32"/>
      <c r="AO77" s="16"/>
      <c r="AP77" s="16"/>
      <c r="AQ77" s="16"/>
      <c r="AR77" s="32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32"/>
      <c r="BE77" s="16"/>
      <c r="BF77" s="16"/>
      <c r="BG77" s="16"/>
      <c r="BH77" s="32"/>
      <c r="BI77" s="32"/>
      <c r="BJ77" s="32"/>
      <c r="BK77" s="32"/>
      <c r="BL77" s="32"/>
      <c r="BM77" s="32"/>
      <c r="BN77" s="16"/>
      <c r="BO77" s="16"/>
      <c r="BP77" s="16"/>
      <c r="BQ77" s="16"/>
      <c r="BR77" s="16"/>
      <c r="BS77" s="16"/>
      <c r="BT77" s="16"/>
      <c r="BU77" s="16"/>
      <c r="BV77" s="56"/>
      <c r="BW77" s="16"/>
      <c r="BX77" s="16"/>
      <c r="BY77" s="16"/>
      <c r="BZ77" s="16"/>
      <c r="CA77" s="16"/>
      <c r="CB77" s="16"/>
      <c r="CC77" s="16"/>
      <c r="CD77" s="16"/>
      <c r="CE77" s="111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5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56"/>
      <c r="DZ77" s="56"/>
      <c r="EA77" s="56"/>
      <c r="EB77" s="56"/>
      <c r="EC77" s="56"/>
      <c r="ED77" s="56"/>
      <c r="EE77" s="56"/>
      <c r="EF77" s="56"/>
      <c r="EG77" s="56"/>
      <c r="EH77" s="56"/>
      <c r="EI77" s="56"/>
      <c r="EJ77" s="56"/>
      <c r="EK77" s="56"/>
      <c r="EL77" s="12"/>
      <c r="EM77" s="12"/>
      <c r="EN77" s="12"/>
      <c r="EO77" s="12"/>
      <c r="EP77" s="12"/>
      <c r="EQ77" s="12"/>
      <c r="ER77" s="12"/>
      <c r="ES77" s="12"/>
      <c r="ET77" s="12"/>
      <c r="EU77" s="12"/>
      <c r="EV77" s="12"/>
      <c r="EW77" s="12"/>
      <c r="EX77" s="12"/>
      <c r="EY77" s="12"/>
      <c r="EZ77" s="12"/>
      <c r="FA77" s="12"/>
      <c r="FB77" s="12"/>
      <c r="FC77" s="12"/>
      <c r="FD77" s="12"/>
      <c r="FE77" s="12"/>
      <c r="FF77" s="12"/>
      <c r="FG77" s="12"/>
      <c r="FH77" s="12"/>
      <c r="FI77" s="12"/>
      <c r="FJ77" s="12"/>
      <c r="FK77" s="12"/>
      <c r="FL77" s="12"/>
      <c r="FM77" s="12"/>
      <c r="FN77" s="12"/>
      <c r="FO77" s="12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  <c r="GO77" s="25"/>
      <c r="GP77" s="25"/>
      <c r="GQ77" s="25"/>
      <c r="GR77" s="25"/>
      <c r="GS77" s="25"/>
      <c r="GT77" s="25"/>
      <c r="GU77" s="25"/>
      <c r="GV77" s="25"/>
      <c r="GW77" s="25"/>
      <c r="GX77" s="25"/>
      <c r="GY77" s="25"/>
      <c r="GZ77" s="25"/>
      <c r="HA77" s="25"/>
      <c r="HB77" s="25"/>
      <c r="HC77" s="25"/>
      <c r="HD77" s="25"/>
      <c r="HE77" s="25"/>
      <c r="HF77" s="16"/>
      <c r="HG77" s="16"/>
      <c r="HH77" s="16"/>
      <c r="HI77" s="16"/>
      <c r="HJ77" s="16"/>
      <c r="HK77" s="16"/>
      <c r="HL77" s="16"/>
      <c r="HM77" s="51"/>
      <c r="HN77" s="51"/>
      <c r="HO77" s="51"/>
      <c r="HP77" s="51"/>
      <c r="HQ77" s="51"/>
      <c r="HR77" s="51"/>
      <c r="HS77"/>
      <c r="HT77"/>
      <c r="HU77"/>
      <c r="HV77"/>
    </row>
    <row r="78" spans="1:230" s="1" customForma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T78" s="32"/>
      <c r="U78" s="4"/>
      <c r="AN78" s="32"/>
      <c r="AO78" s="16"/>
      <c r="AP78" s="16"/>
      <c r="AQ78" s="16"/>
      <c r="AR78" s="32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32"/>
      <c r="BE78" s="16"/>
      <c r="BF78" s="16"/>
      <c r="BG78" s="16"/>
      <c r="BH78" s="32"/>
      <c r="BI78" s="32"/>
      <c r="BJ78" s="32"/>
      <c r="BK78" s="32"/>
      <c r="BL78" s="32"/>
      <c r="BM78" s="32"/>
      <c r="BN78" s="16"/>
      <c r="BO78" s="16"/>
      <c r="BP78" s="16"/>
      <c r="BQ78" s="16"/>
      <c r="BR78" s="16"/>
      <c r="BS78" s="16"/>
      <c r="BT78" s="16"/>
      <c r="BU78" s="16"/>
      <c r="BV78" s="56"/>
      <c r="BW78" s="16"/>
      <c r="BX78" s="16"/>
      <c r="BY78" s="16"/>
      <c r="BZ78" s="16"/>
      <c r="CA78" s="16"/>
      <c r="CB78" s="16"/>
      <c r="CC78" s="16"/>
      <c r="CD78" s="16"/>
      <c r="CE78" s="111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5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56"/>
      <c r="DZ78" s="56"/>
      <c r="EA78" s="56"/>
      <c r="EB78" s="56"/>
      <c r="EC78" s="56"/>
      <c r="ED78" s="56"/>
      <c r="EE78" s="56"/>
      <c r="EF78" s="56"/>
      <c r="EG78" s="56"/>
      <c r="EH78" s="56"/>
      <c r="EI78" s="56"/>
      <c r="EJ78" s="56"/>
      <c r="EK78" s="56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  <c r="GR78" s="25"/>
      <c r="GS78" s="25"/>
      <c r="GT78" s="25"/>
      <c r="GU78" s="25"/>
      <c r="GV78" s="25"/>
      <c r="GW78" s="25"/>
      <c r="GX78" s="25"/>
      <c r="GY78" s="25"/>
      <c r="GZ78" s="25"/>
      <c r="HA78" s="25"/>
      <c r="HB78" s="25"/>
      <c r="HC78" s="25"/>
      <c r="HD78" s="25"/>
      <c r="HE78" s="25"/>
      <c r="HF78" s="16"/>
      <c r="HG78" s="16"/>
      <c r="HH78" s="16"/>
      <c r="HI78" s="16"/>
      <c r="HJ78" s="16"/>
      <c r="HK78" s="16"/>
      <c r="HL78" s="16"/>
      <c r="HM78" s="51"/>
      <c r="HN78" s="51"/>
      <c r="HO78" s="51"/>
      <c r="HP78" s="51"/>
      <c r="HQ78" s="51"/>
      <c r="HR78" s="51"/>
      <c r="HS78"/>
      <c r="HT78"/>
      <c r="HU78"/>
      <c r="HV78"/>
    </row>
    <row r="79" spans="1:230" s="1" customForma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T79" s="32"/>
      <c r="U79" s="4"/>
      <c r="AN79" s="32"/>
      <c r="AO79" s="16"/>
      <c r="AP79" s="16"/>
      <c r="AQ79" s="16"/>
      <c r="AR79" s="32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32"/>
      <c r="BE79" s="16"/>
      <c r="BF79" s="16"/>
      <c r="BG79" s="16"/>
      <c r="BH79" s="32"/>
      <c r="BI79" s="32"/>
      <c r="BJ79" s="32"/>
      <c r="BK79" s="32"/>
      <c r="BL79" s="32"/>
      <c r="BM79" s="32"/>
      <c r="BN79" s="16"/>
      <c r="BO79" s="16"/>
      <c r="BP79" s="16"/>
      <c r="BQ79" s="16"/>
      <c r="BR79" s="16"/>
      <c r="BS79" s="16"/>
      <c r="BT79" s="16"/>
      <c r="BU79" s="16"/>
      <c r="BV79" s="56"/>
      <c r="BW79" s="16"/>
      <c r="BX79" s="16"/>
      <c r="BY79" s="16"/>
      <c r="BZ79" s="16"/>
      <c r="CA79" s="16"/>
      <c r="CB79" s="16"/>
      <c r="CC79" s="16"/>
      <c r="CD79" s="16"/>
      <c r="CE79" s="111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5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56"/>
      <c r="DZ79" s="56"/>
      <c r="EA79" s="56"/>
      <c r="EB79" s="56"/>
      <c r="EC79" s="56"/>
      <c r="ED79" s="56"/>
      <c r="EE79" s="56"/>
      <c r="EF79" s="56"/>
      <c r="EG79" s="56"/>
      <c r="EH79" s="56"/>
      <c r="EI79" s="56"/>
      <c r="EJ79" s="56"/>
      <c r="EK79" s="56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  <c r="EY79" s="12"/>
      <c r="EZ79" s="12"/>
      <c r="FA79" s="12"/>
      <c r="FB79" s="12"/>
      <c r="FC79" s="12"/>
      <c r="FD79" s="12"/>
      <c r="FE79" s="12"/>
      <c r="FF79" s="12"/>
      <c r="FG79" s="12"/>
      <c r="FH79" s="12"/>
      <c r="FI79" s="12"/>
      <c r="FJ79" s="12"/>
      <c r="FK79" s="12"/>
      <c r="FL79" s="12"/>
      <c r="FM79" s="12"/>
      <c r="FN79" s="12"/>
      <c r="FO79" s="12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  <c r="GO79" s="25"/>
      <c r="GP79" s="25"/>
      <c r="GQ79" s="25"/>
      <c r="GR79" s="25"/>
      <c r="GS79" s="25"/>
      <c r="GT79" s="25"/>
      <c r="GU79" s="25"/>
      <c r="GV79" s="25"/>
      <c r="GW79" s="25"/>
      <c r="GX79" s="25"/>
      <c r="GY79" s="25"/>
      <c r="GZ79" s="25"/>
      <c r="HA79" s="25"/>
      <c r="HB79" s="25"/>
      <c r="HC79" s="25"/>
      <c r="HD79" s="25"/>
      <c r="HE79" s="25"/>
      <c r="HF79" s="16"/>
      <c r="HG79" s="16"/>
      <c r="HH79" s="16"/>
      <c r="HI79" s="16"/>
      <c r="HJ79" s="16"/>
      <c r="HK79" s="16"/>
      <c r="HL79" s="16"/>
      <c r="HM79" s="51"/>
      <c r="HN79" s="51"/>
      <c r="HO79" s="51"/>
      <c r="HP79" s="51"/>
      <c r="HQ79" s="51"/>
      <c r="HR79" s="51"/>
      <c r="HS79"/>
      <c r="HT79"/>
      <c r="HU79"/>
      <c r="HV79"/>
    </row>
    <row r="80" spans="1:230" s="1" customForma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T80" s="32"/>
      <c r="U80" s="4"/>
      <c r="AN80" s="32"/>
      <c r="AO80" s="16"/>
      <c r="AP80" s="16"/>
      <c r="AQ80" s="16"/>
      <c r="AR80" s="32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32"/>
      <c r="BE80" s="16"/>
      <c r="BF80" s="16"/>
      <c r="BG80" s="16"/>
      <c r="BH80" s="32"/>
      <c r="BI80" s="32"/>
      <c r="BJ80" s="32"/>
      <c r="BK80" s="32"/>
      <c r="BL80" s="32"/>
      <c r="BM80" s="32"/>
      <c r="BN80" s="16"/>
      <c r="BO80" s="16"/>
      <c r="BP80" s="16"/>
      <c r="BQ80" s="16"/>
      <c r="BR80" s="16"/>
      <c r="BS80" s="16"/>
      <c r="BT80" s="16"/>
      <c r="BU80" s="16"/>
      <c r="BV80" s="56"/>
      <c r="BW80" s="16"/>
      <c r="BX80" s="16"/>
      <c r="BY80" s="16"/>
      <c r="BZ80" s="16"/>
      <c r="CA80" s="16"/>
      <c r="CB80" s="16"/>
      <c r="CC80" s="16"/>
      <c r="CD80" s="16"/>
      <c r="CE80" s="111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5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56"/>
      <c r="DZ80" s="56"/>
      <c r="EA80" s="56"/>
      <c r="EB80" s="56"/>
      <c r="EC80" s="56"/>
      <c r="ED80" s="56"/>
      <c r="EE80" s="56"/>
      <c r="EF80" s="56"/>
      <c r="EG80" s="56"/>
      <c r="EH80" s="56"/>
      <c r="EI80" s="56"/>
      <c r="EJ80" s="56"/>
      <c r="EK80" s="56"/>
      <c r="EL80" s="12"/>
      <c r="EM80" s="12"/>
      <c r="EN80" s="12"/>
      <c r="EO80" s="12"/>
      <c r="EP80" s="12"/>
      <c r="EQ80" s="12"/>
      <c r="ER80" s="12"/>
      <c r="ES80" s="12"/>
      <c r="ET80" s="12"/>
      <c r="EU80" s="12"/>
      <c r="EV80" s="12"/>
      <c r="EW80" s="12"/>
      <c r="EX80" s="12"/>
      <c r="EY80" s="12"/>
      <c r="EZ80" s="12"/>
      <c r="FA80" s="12"/>
      <c r="FB80" s="12"/>
      <c r="FC80" s="12"/>
      <c r="FD80" s="12"/>
      <c r="FE80" s="12"/>
      <c r="FF80" s="12"/>
      <c r="FG80" s="12"/>
      <c r="FH80" s="12"/>
      <c r="FI80" s="12"/>
      <c r="FJ80" s="12"/>
      <c r="FK80" s="12"/>
      <c r="FL80" s="12"/>
      <c r="FM80" s="12"/>
      <c r="FN80" s="12"/>
      <c r="FO80" s="12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  <c r="GR80" s="25"/>
      <c r="GS80" s="25"/>
      <c r="GT80" s="25"/>
      <c r="GU80" s="25"/>
      <c r="GV80" s="25"/>
      <c r="GW80" s="25"/>
      <c r="GX80" s="25"/>
      <c r="GY80" s="25"/>
      <c r="GZ80" s="25"/>
      <c r="HA80" s="25"/>
      <c r="HB80" s="25"/>
      <c r="HC80" s="25"/>
      <c r="HD80" s="25"/>
      <c r="HE80" s="25"/>
      <c r="HF80" s="16"/>
      <c r="HG80" s="16"/>
      <c r="HH80" s="16"/>
      <c r="HI80" s="16"/>
      <c r="HJ80" s="16"/>
      <c r="HK80" s="16"/>
      <c r="HL80" s="16"/>
      <c r="HM80" s="51"/>
      <c r="HN80" s="51"/>
      <c r="HO80" s="51"/>
      <c r="HP80" s="51"/>
      <c r="HQ80" s="51"/>
      <c r="HR80" s="51"/>
      <c r="HS80"/>
      <c r="HT80"/>
      <c r="HU80"/>
      <c r="HV80"/>
    </row>
    <row r="81" spans="1:230" s="1" customForma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T81" s="32"/>
      <c r="U81" s="4"/>
      <c r="AN81" s="32"/>
      <c r="AO81" s="16"/>
      <c r="AP81" s="16"/>
      <c r="AQ81" s="16"/>
      <c r="AR81" s="32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32"/>
      <c r="BE81" s="16"/>
      <c r="BF81" s="16"/>
      <c r="BG81" s="16"/>
      <c r="BH81" s="32"/>
      <c r="BI81" s="32"/>
      <c r="BJ81" s="32"/>
      <c r="BK81" s="32"/>
      <c r="BL81" s="32"/>
      <c r="BM81" s="32"/>
      <c r="BN81" s="16"/>
      <c r="BO81" s="16"/>
      <c r="BP81" s="16"/>
      <c r="BQ81" s="16"/>
      <c r="BR81" s="16"/>
      <c r="BS81" s="16"/>
      <c r="BT81" s="16"/>
      <c r="BU81" s="16"/>
      <c r="BV81" s="56"/>
      <c r="BW81" s="16"/>
      <c r="BX81" s="16"/>
      <c r="BY81" s="16"/>
      <c r="BZ81" s="16"/>
      <c r="CA81" s="16"/>
      <c r="CB81" s="16"/>
      <c r="CC81" s="16"/>
      <c r="CD81" s="16"/>
      <c r="CE81" s="111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5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56"/>
      <c r="DZ81" s="56"/>
      <c r="EA81" s="56"/>
      <c r="EB81" s="56"/>
      <c r="EC81" s="56"/>
      <c r="ED81" s="56"/>
      <c r="EE81" s="56"/>
      <c r="EF81" s="56"/>
      <c r="EG81" s="56"/>
      <c r="EH81" s="56"/>
      <c r="EI81" s="56"/>
      <c r="EJ81" s="56"/>
      <c r="EK81" s="56"/>
      <c r="EL81" s="12"/>
      <c r="EM81" s="12"/>
      <c r="EN81" s="12"/>
      <c r="EO81" s="12"/>
      <c r="EP81" s="12"/>
      <c r="EQ81" s="12"/>
      <c r="ER81" s="12"/>
      <c r="ES81" s="12"/>
      <c r="ET81" s="12"/>
      <c r="EU81" s="12"/>
      <c r="EV81" s="12"/>
      <c r="EW81" s="12"/>
      <c r="EX81" s="12"/>
      <c r="EY81" s="12"/>
      <c r="EZ81" s="12"/>
      <c r="FA81" s="12"/>
      <c r="FB81" s="12"/>
      <c r="FC81" s="12"/>
      <c r="FD81" s="12"/>
      <c r="FE81" s="12"/>
      <c r="FF81" s="12"/>
      <c r="FG81" s="12"/>
      <c r="FH81" s="12"/>
      <c r="FI81" s="12"/>
      <c r="FJ81" s="12"/>
      <c r="FK81" s="12"/>
      <c r="FL81" s="12"/>
      <c r="FM81" s="12"/>
      <c r="FN81" s="12"/>
      <c r="FO81" s="12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  <c r="GR81" s="25"/>
      <c r="GS81" s="25"/>
      <c r="GT81" s="25"/>
      <c r="GU81" s="25"/>
      <c r="GV81" s="25"/>
      <c r="GW81" s="25"/>
      <c r="GX81" s="25"/>
      <c r="GY81" s="25"/>
      <c r="GZ81" s="25"/>
      <c r="HA81" s="25"/>
      <c r="HB81" s="25"/>
      <c r="HC81" s="25"/>
      <c r="HD81" s="25"/>
      <c r="HE81" s="25"/>
      <c r="HF81" s="16"/>
      <c r="HG81" s="16"/>
      <c r="HH81" s="16"/>
      <c r="HI81" s="16"/>
      <c r="HJ81" s="16"/>
      <c r="HK81" s="16"/>
      <c r="HL81" s="16"/>
      <c r="HM81" s="51"/>
      <c r="HN81" s="51"/>
      <c r="HO81" s="51"/>
      <c r="HP81" s="51"/>
      <c r="HQ81" s="51"/>
      <c r="HR81" s="51"/>
      <c r="HS81"/>
      <c r="HT81"/>
      <c r="HU81"/>
      <c r="HV81"/>
    </row>
    <row r="82" spans="1:230" s="1" customForma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T82" s="32"/>
      <c r="U82" s="4"/>
      <c r="AN82" s="32"/>
      <c r="AO82" s="16"/>
      <c r="AP82" s="16"/>
      <c r="AQ82" s="16"/>
      <c r="AR82" s="32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32"/>
      <c r="BE82" s="16"/>
      <c r="BF82" s="16"/>
      <c r="BG82" s="16"/>
      <c r="BH82" s="32"/>
      <c r="BI82" s="32"/>
      <c r="BJ82" s="32"/>
      <c r="BK82" s="32"/>
      <c r="BL82" s="32"/>
      <c r="BM82" s="32"/>
      <c r="BN82" s="16"/>
      <c r="BO82" s="16"/>
      <c r="BP82" s="16"/>
      <c r="BQ82" s="16"/>
      <c r="BR82" s="16"/>
      <c r="BS82" s="16"/>
      <c r="BT82" s="16"/>
      <c r="BU82" s="16"/>
      <c r="BV82" s="56"/>
      <c r="BW82" s="16"/>
      <c r="BX82" s="16"/>
      <c r="BY82" s="16"/>
      <c r="BZ82" s="16"/>
      <c r="CA82" s="16"/>
      <c r="CB82" s="16"/>
      <c r="CC82" s="16"/>
      <c r="CD82" s="16"/>
      <c r="CE82" s="111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5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56"/>
      <c r="DZ82" s="56"/>
      <c r="EA82" s="56"/>
      <c r="EB82" s="56"/>
      <c r="EC82" s="56"/>
      <c r="ED82" s="56"/>
      <c r="EE82" s="56"/>
      <c r="EF82" s="56"/>
      <c r="EG82" s="56"/>
      <c r="EH82" s="56"/>
      <c r="EI82" s="56"/>
      <c r="EJ82" s="56"/>
      <c r="EK82" s="56"/>
      <c r="EL82" s="12"/>
      <c r="EM82" s="12"/>
      <c r="EN82" s="12"/>
      <c r="EO82" s="12"/>
      <c r="EP82" s="12"/>
      <c r="EQ82" s="12"/>
      <c r="ER82" s="12"/>
      <c r="ES82" s="12"/>
      <c r="ET82" s="12"/>
      <c r="EU82" s="12"/>
      <c r="EV82" s="12"/>
      <c r="EW82" s="12"/>
      <c r="EX82" s="12"/>
      <c r="EY82" s="12"/>
      <c r="EZ82" s="12"/>
      <c r="FA82" s="12"/>
      <c r="FB82" s="12"/>
      <c r="FC82" s="12"/>
      <c r="FD82" s="12"/>
      <c r="FE82" s="12"/>
      <c r="FF82" s="12"/>
      <c r="FG82" s="12"/>
      <c r="FH82" s="12"/>
      <c r="FI82" s="12"/>
      <c r="FJ82" s="12"/>
      <c r="FK82" s="12"/>
      <c r="FL82" s="12"/>
      <c r="FM82" s="12"/>
      <c r="FN82" s="12"/>
      <c r="FO82" s="12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  <c r="GO82" s="25"/>
      <c r="GP82" s="25"/>
      <c r="GQ82" s="25"/>
      <c r="GR82" s="25"/>
      <c r="GS82" s="25"/>
      <c r="GT82" s="25"/>
      <c r="GU82" s="25"/>
      <c r="GV82" s="25"/>
      <c r="GW82" s="25"/>
      <c r="GX82" s="25"/>
      <c r="GY82" s="25"/>
      <c r="GZ82" s="25"/>
      <c r="HA82" s="25"/>
      <c r="HB82" s="25"/>
      <c r="HC82" s="25"/>
      <c r="HD82" s="25"/>
      <c r="HE82" s="25"/>
      <c r="HF82" s="16"/>
      <c r="HG82" s="16"/>
      <c r="HH82" s="16"/>
      <c r="HI82" s="16"/>
      <c r="HJ82" s="16"/>
      <c r="HK82" s="16"/>
      <c r="HL82" s="16"/>
      <c r="HM82" s="51"/>
      <c r="HN82" s="51"/>
      <c r="HO82" s="51"/>
      <c r="HP82" s="51"/>
      <c r="HQ82" s="51"/>
      <c r="HR82" s="51"/>
      <c r="HS82"/>
      <c r="HT82"/>
      <c r="HU82"/>
      <c r="HV82"/>
    </row>
    <row r="83" spans="1:230" s="1" customForma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T83" s="32"/>
      <c r="U83" s="4"/>
      <c r="AN83" s="32"/>
      <c r="AO83" s="16"/>
      <c r="AP83" s="16"/>
      <c r="AQ83" s="16"/>
      <c r="AR83" s="32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32"/>
      <c r="BE83" s="16"/>
      <c r="BF83" s="16"/>
      <c r="BG83" s="16"/>
      <c r="BH83" s="32"/>
      <c r="BI83" s="32"/>
      <c r="BJ83" s="32"/>
      <c r="BK83" s="32"/>
      <c r="BL83" s="32"/>
      <c r="BM83" s="32"/>
      <c r="BN83" s="16"/>
      <c r="BO83" s="16"/>
      <c r="BP83" s="16"/>
      <c r="BQ83" s="16"/>
      <c r="BR83" s="16"/>
      <c r="BS83" s="16"/>
      <c r="BT83" s="16"/>
      <c r="BU83" s="16"/>
      <c r="BV83" s="56"/>
      <c r="BW83" s="16"/>
      <c r="BX83" s="16"/>
      <c r="BY83" s="16"/>
      <c r="BZ83" s="16"/>
      <c r="CA83" s="16"/>
      <c r="CB83" s="16"/>
      <c r="CC83" s="16"/>
      <c r="CD83" s="16"/>
      <c r="CE83" s="111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5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56"/>
      <c r="DZ83" s="56"/>
      <c r="EA83" s="56"/>
      <c r="EB83" s="56"/>
      <c r="EC83" s="56"/>
      <c r="ED83" s="56"/>
      <c r="EE83" s="56"/>
      <c r="EF83" s="56"/>
      <c r="EG83" s="56"/>
      <c r="EH83" s="56"/>
      <c r="EI83" s="56"/>
      <c r="EJ83" s="56"/>
      <c r="EK83" s="56"/>
      <c r="EL83" s="12"/>
      <c r="EM83" s="12"/>
      <c r="EN83" s="12"/>
      <c r="EO83" s="12"/>
      <c r="EP83" s="12"/>
      <c r="EQ83" s="12"/>
      <c r="ER83" s="12"/>
      <c r="ES83" s="12"/>
      <c r="ET83" s="12"/>
      <c r="EU83" s="12"/>
      <c r="EV83" s="12"/>
      <c r="EW83" s="12"/>
      <c r="EX83" s="12"/>
      <c r="EY83" s="12"/>
      <c r="EZ83" s="12"/>
      <c r="FA83" s="12"/>
      <c r="FB83" s="12"/>
      <c r="FC83" s="12"/>
      <c r="FD83" s="12"/>
      <c r="FE83" s="12"/>
      <c r="FF83" s="12"/>
      <c r="FG83" s="12"/>
      <c r="FH83" s="12"/>
      <c r="FI83" s="12"/>
      <c r="FJ83" s="12"/>
      <c r="FK83" s="12"/>
      <c r="FL83" s="12"/>
      <c r="FM83" s="12"/>
      <c r="FN83" s="12"/>
      <c r="FO83" s="12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  <c r="GR83" s="25"/>
      <c r="GS83" s="25"/>
      <c r="GT83" s="25"/>
      <c r="GU83" s="25"/>
      <c r="GV83" s="25"/>
      <c r="GW83" s="25"/>
      <c r="GX83" s="25"/>
      <c r="GY83" s="25"/>
      <c r="GZ83" s="25"/>
      <c r="HA83" s="25"/>
      <c r="HB83" s="25"/>
      <c r="HC83" s="25"/>
      <c r="HD83" s="25"/>
      <c r="HE83" s="25"/>
      <c r="HF83" s="16"/>
      <c r="HG83" s="16"/>
      <c r="HH83" s="16"/>
      <c r="HI83" s="16"/>
      <c r="HJ83" s="16"/>
      <c r="HK83" s="16"/>
      <c r="HL83" s="16"/>
      <c r="HM83" s="51"/>
      <c r="HN83" s="51"/>
      <c r="HO83" s="51"/>
      <c r="HP83" s="51"/>
      <c r="HQ83" s="51"/>
      <c r="HR83" s="51"/>
      <c r="HS83"/>
      <c r="HT83"/>
      <c r="HU83"/>
      <c r="HV83"/>
    </row>
    <row r="84" spans="1:230" s="1" customForma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T84" s="32"/>
      <c r="U84" s="4"/>
      <c r="AN84" s="32"/>
      <c r="AO84" s="16"/>
      <c r="AP84" s="16"/>
      <c r="AQ84" s="16"/>
      <c r="AR84" s="32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32"/>
      <c r="BE84" s="16"/>
      <c r="BF84" s="16"/>
      <c r="BG84" s="16"/>
      <c r="BH84" s="32"/>
      <c r="BI84" s="32"/>
      <c r="BJ84" s="32"/>
      <c r="BK84" s="32"/>
      <c r="BL84" s="32"/>
      <c r="BM84" s="32"/>
      <c r="BN84" s="16"/>
      <c r="BO84" s="16"/>
      <c r="BP84" s="16"/>
      <c r="BQ84" s="16"/>
      <c r="BR84" s="16"/>
      <c r="BS84" s="16"/>
      <c r="BT84" s="16"/>
      <c r="BU84" s="16"/>
      <c r="BV84" s="56"/>
      <c r="BW84" s="16"/>
      <c r="BX84" s="16"/>
      <c r="BY84" s="16"/>
      <c r="BZ84" s="16"/>
      <c r="CA84" s="16"/>
      <c r="CB84" s="16"/>
      <c r="CC84" s="16"/>
      <c r="CD84" s="16"/>
      <c r="CE84" s="111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5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56"/>
      <c r="DZ84" s="56"/>
      <c r="EA84" s="56"/>
      <c r="EB84" s="56"/>
      <c r="EC84" s="56"/>
      <c r="ED84" s="56"/>
      <c r="EE84" s="56"/>
      <c r="EF84" s="56"/>
      <c r="EG84" s="56"/>
      <c r="EH84" s="56"/>
      <c r="EI84" s="56"/>
      <c r="EJ84" s="56"/>
      <c r="EK84" s="56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  <c r="EY84" s="12"/>
      <c r="EZ84" s="12"/>
      <c r="FA84" s="12"/>
      <c r="FB84" s="12"/>
      <c r="FC84" s="12"/>
      <c r="FD84" s="12"/>
      <c r="FE84" s="12"/>
      <c r="FF84" s="12"/>
      <c r="FG84" s="12"/>
      <c r="FH84" s="12"/>
      <c r="FI84" s="12"/>
      <c r="FJ84" s="12"/>
      <c r="FK84" s="12"/>
      <c r="FL84" s="12"/>
      <c r="FM84" s="12"/>
      <c r="FN84" s="12"/>
      <c r="FO84" s="12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  <c r="GR84" s="25"/>
      <c r="GS84" s="25"/>
      <c r="GT84" s="25"/>
      <c r="GU84" s="25"/>
      <c r="GV84" s="25"/>
      <c r="GW84" s="25"/>
      <c r="GX84" s="25"/>
      <c r="GY84" s="25"/>
      <c r="GZ84" s="25"/>
      <c r="HA84" s="25"/>
      <c r="HB84" s="25"/>
      <c r="HC84" s="25"/>
      <c r="HD84" s="25"/>
      <c r="HE84" s="25"/>
      <c r="HF84" s="16"/>
      <c r="HG84" s="16"/>
      <c r="HH84" s="16"/>
      <c r="HI84" s="16"/>
      <c r="HJ84" s="16"/>
      <c r="HK84" s="16"/>
      <c r="HL84" s="16"/>
      <c r="HM84" s="51"/>
      <c r="HN84" s="51"/>
      <c r="HO84" s="51"/>
      <c r="HP84" s="51"/>
      <c r="HQ84" s="51"/>
      <c r="HR84" s="51"/>
      <c r="HS84"/>
      <c r="HT84"/>
      <c r="HU84"/>
      <c r="HV84"/>
    </row>
    <row r="85" spans="1:230" s="1" customForma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T85" s="32"/>
      <c r="U85" s="4"/>
      <c r="AN85" s="32"/>
      <c r="AO85" s="16"/>
      <c r="AP85" s="16"/>
      <c r="AQ85" s="16"/>
      <c r="AR85" s="32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32"/>
      <c r="BE85" s="16"/>
      <c r="BF85" s="16"/>
      <c r="BG85" s="16"/>
      <c r="BH85" s="32"/>
      <c r="BI85" s="32"/>
      <c r="BJ85" s="32"/>
      <c r="BK85" s="32"/>
      <c r="BL85" s="32"/>
      <c r="BM85" s="32"/>
      <c r="BN85" s="16"/>
      <c r="BO85" s="16"/>
      <c r="BP85" s="16"/>
      <c r="BQ85" s="16"/>
      <c r="BR85" s="16"/>
      <c r="BS85" s="16"/>
      <c r="BT85" s="16"/>
      <c r="BU85" s="16"/>
      <c r="BV85" s="56"/>
      <c r="BW85" s="16"/>
      <c r="BX85" s="16"/>
      <c r="BY85" s="16"/>
      <c r="BZ85" s="16"/>
      <c r="CA85" s="16"/>
      <c r="CB85" s="16"/>
      <c r="CC85" s="16"/>
      <c r="CD85" s="16"/>
      <c r="CE85" s="111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5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56"/>
      <c r="DZ85" s="56"/>
      <c r="EA85" s="56"/>
      <c r="EB85" s="56"/>
      <c r="EC85" s="56"/>
      <c r="ED85" s="56"/>
      <c r="EE85" s="56"/>
      <c r="EF85" s="56"/>
      <c r="EG85" s="56"/>
      <c r="EH85" s="56"/>
      <c r="EI85" s="56"/>
      <c r="EJ85" s="56"/>
      <c r="EK85" s="56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  <c r="EY85" s="12"/>
      <c r="EZ85" s="12"/>
      <c r="FA85" s="12"/>
      <c r="FB85" s="12"/>
      <c r="FC85" s="12"/>
      <c r="FD85" s="12"/>
      <c r="FE85" s="12"/>
      <c r="FF85" s="12"/>
      <c r="FG85" s="12"/>
      <c r="FH85" s="12"/>
      <c r="FI85" s="12"/>
      <c r="FJ85" s="12"/>
      <c r="FK85" s="12"/>
      <c r="FL85" s="12"/>
      <c r="FM85" s="12"/>
      <c r="FN85" s="12"/>
      <c r="FO85" s="12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  <c r="GR85" s="25"/>
      <c r="GS85" s="25"/>
      <c r="GT85" s="25"/>
      <c r="GU85" s="25"/>
      <c r="GV85" s="25"/>
      <c r="GW85" s="25"/>
      <c r="GX85" s="25"/>
      <c r="GY85" s="25"/>
      <c r="GZ85" s="25"/>
      <c r="HA85" s="25"/>
      <c r="HB85" s="25"/>
      <c r="HC85" s="25"/>
      <c r="HD85" s="25"/>
      <c r="HE85" s="25"/>
      <c r="HF85" s="16"/>
      <c r="HG85" s="16"/>
      <c r="HH85" s="16"/>
      <c r="HI85" s="16"/>
      <c r="HJ85" s="16"/>
      <c r="HK85" s="16"/>
      <c r="HL85" s="16"/>
      <c r="HM85" s="51"/>
      <c r="HN85" s="51"/>
      <c r="HO85" s="51"/>
      <c r="HP85" s="51"/>
      <c r="HQ85" s="51"/>
      <c r="HR85" s="51"/>
      <c r="HS85"/>
      <c r="HT85"/>
      <c r="HU85"/>
      <c r="HV85"/>
    </row>
    <row r="86" spans="1:230" s="1" customForma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T86" s="32"/>
      <c r="U86" s="4"/>
      <c r="AN86" s="32"/>
      <c r="AO86" s="16"/>
      <c r="AP86" s="16"/>
      <c r="AQ86" s="16"/>
      <c r="AR86" s="32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32"/>
      <c r="BE86" s="16"/>
      <c r="BF86" s="16"/>
      <c r="BG86" s="16"/>
      <c r="BH86" s="32"/>
      <c r="BI86" s="32"/>
      <c r="BJ86" s="32"/>
      <c r="BK86" s="32"/>
      <c r="BL86" s="32"/>
      <c r="BM86" s="32"/>
      <c r="BN86" s="16"/>
      <c r="BO86" s="16"/>
      <c r="BP86" s="16"/>
      <c r="BQ86" s="16"/>
      <c r="BR86" s="16"/>
      <c r="BS86" s="16"/>
      <c r="BT86" s="16"/>
      <c r="BU86" s="16"/>
      <c r="BV86" s="56"/>
      <c r="BW86" s="16"/>
      <c r="BX86" s="16"/>
      <c r="BY86" s="16"/>
      <c r="BZ86" s="16"/>
      <c r="CA86" s="16"/>
      <c r="CB86" s="16"/>
      <c r="CC86" s="16"/>
      <c r="CD86" s="16"/>
      <c r="CE86" s="111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5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56"/>
      <c r="DZ86" s="56"/>
      <c r="EA86" s="56"/>
      <c r="EB86" s="56"/>
      <c r="EC86" s="56"/>
      <c r="ED86" s="56"/>
      <c r="EE86" s="56"/>
      <c r="EF86" s="56"/>
      <c r="EG86" s="56"/>
      <c r="EH86" s="56"/>
      <c r="EI86" s="56"/>
      <c r="EJ86" s="56"/>
      <c r="EK86" s="56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  <c r="GR86" s="25"/>
      <c r="GS86" s="25"/>
      <c r="GT86" s="25"/>
      <c r="GU86" s="25"/>
      <c r="GV86" s="25"/>
      <c r="GW86" s="25"/>
      <c r="GX86" s="25"/>
      <c r="GY86" s="25"/>
      <c r="GZ86" s="25"/>
      <c r="HA86" s="25"/>
      <c r="HB86" s="25"/>
      <c r="HC86" s="25"/>
      <c r="HD86" s="25"/>
      <c r="HE86" s="25"/>
      <c r="HF86" s="16"/>
      <c r="HG86" s="16"/>
      <c r="HH86" s="16"/>
      <c r="HI86" s="16"/>
      <c r="HJ86" s="16"/>
      <c r="HK86" s="16"/>
      <c r="HL86" s="16"/>
      <c r="HM86" s="51"/>
      <c r="HN86" s="51"/>
      <c r="HO86" s="51"/>
      <c r="HP86" s="51"/>
      <c r="HQ86" s="51"/>
      <c r="HR86" s="51"/>
      <c r="HS86"/>
      <c r="HT86"/>
      <c r="HU86"/>
      <c r="HV86"/>
    </row>
    <row r="87" spans="1:230" s="1" customForma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T87" s="32"/>
      <c r="U87" s="4"/>
      <c r="AN87" s="32"/>
      <c r="AO87" s="16"/>
      <c r="AP87" s="16"/>
      <c r="AQ87" s="16"/>
      <c r="AR87" s="32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32"/>
      <c r="BE87" s="16"/>
      <c r="BF87" s="16"/>
      <c r="BG87" s="16"/>
      <c r="BH87" s="32"/>
      <c r="BI87" s="32"/>
      <c r="BJ87" s="32"/>
      <c r="BK87" s="32"/>
      <c r="BL87" s="32"/>
      <c r="BM87" s="32"/>
      <c r="BN87" s="16"/>
      <c r="BO87" s="16"/>
      <c r="BP87" s="16"/>
      <c r="BQ87" s="16"/>
      <c r="BR87" s="16"/>
      <c r="BS87" s="16"/>
      <c r="BT87" s="16"/>
      <c r="BU87" s="16"/>
      <c r="BV87" s="56"/>
      <c r="BW87" s="16"/>
      <c r="BX87" s="16"/>
      <c r="BY87" s="16"/>
      <c r="BZ87" s="16"/>
      <c r="CA87" s="16"/>
      <c r="CB87" s="16"/>
      <c r="CC87" s="16"/>
      <c r="CD87" s="16"/>
      <c r="CE87" s="111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5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56"/>
      <c r="DZ87" s="56"/>
      <c r="EA87" s="56"/>
      <c r="EB87" s="56"/>
      <c r="EC87" s="56"/>
      <c r="ED87" s="56"/>
      <c r="EE87" s="56"/>
      <c r="EF87" s="56"/>
      <c r="EG87" s="56"/>
      <c r="EH87" s="56"/>
      <c r="EI87" s="56"/>
      <c r="EJ87" s="56"/>
      <c r="EK87" s="56"/>
      <c r="EL87" s="12"/>
      <c r="EM87" s="12"/>
      <c r="EN87" s="12"/>
      <c r="EO87" s="12"/>
      <c r="EP87" s="12"/>
      <c r="EQ87" s="12"/>
      <c r="ER87" s="12"/>
      <c r="ES87" s="12"/>
      <c r="ET87" s="12"/>
      <c r="EU87" s="12"/>
      <c r="EV87" s="12"/>
      <c r="EW87" s="12"/>
      <c r="EX87" s="12"/>
      <c r="EY87" s="12"/>
      <c r="EZ87" s="12"/>
      <c r="FA87" s="12"/>
      <c r="FB87" s="12"/>
      <c r="FC87" s="12"/>
      <c r="FD87" s="12"/>
      <c r="FE87" s="12"/>
      <c r="FF87" s="12"/>
      <c r="FG87" s="12"/>
      <c r="FH87" s="12"/>
      <c r="FI87" s="12"/>
      <c r="FJ87" s="12"/>
      <c r="FK87" s="12"/>
      <c r="FL87" s="12"/>
      <c r="FM87" s="12"/>
      <c r="FN87" s="12"/>
      <c r="FO87" s="12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  <c r="GP87" s="25"/>
      <c r="GQ87" s="25"/>
      <c r="GR87" s="25"/>
      <c r="GS87" s="25"/>
      <c r="GT87" s="25"/>
      <c r="GU87" s="25"/>
      <c r="GV87" s="25"/>
      <c r="GW87" s="25"/>
      <c r="GX87" s="25"/>
      <c r="GY87" s="25"/>
      <c r="GZ87" s="25"/>
      <c r="HA87" s="25"/>
      <c r="HB87" s="25"/>
      <c r="HC87" s="25"/>
      <c r="HD87" s="25"/>
      <c r="HE87" s="25"/>
      <c r="HF87" s="16"/>
      <c r="HG87" s="16"/>
      <c r="HH87" s="16"/>
      <c r="HI87" s="16"/>
      <c r="HJ87" s="16"/>
      <c r="HK87" s="16"/>
      <c r="HL87" s="16"/>
      <c r="HM87" s="51"/>
      <c r="HN87" s="51"/>
      <c r="HO87" s="51"/>
      <c r="HP87" s="51"/>
      <c r="HQ87" s="51"/>
      <c r="HR87" s="51"/>
      <c r="HS87"/>
      <c r="HT87"/>
      <c r="HU87"/>
      <c r="HV87"/>
    </row>
    <row r="88" spans="1:230" s="1" customForma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T88" s="32"/>
      <c r="U88" s="4"/>
      <c r="AN88" s="32"/>
      <c r="AO88" s="16"/>
      <c r="AP88" s="16"/>
      <c r="AQ88" s="16"/>
      <c r="AR88" s="32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32"/>
      <c r="BE88" s="16"/>
      <c r="BF88" s="16"/>
      <c r="BG88" s="16"/>
      <c r="BH88" s="32"/>
      <c r="BI88" s="32"/>
      <c r="BJ88" s="32"/>
      <c r="BK88" s="32"/>
      <c r="BL88" s="32"/>
      <c r="BM88" s="32"/>
      <c r="BN88" s="16"/>
      <c r="BO88" s="16"/>
      <c r="BP88" s="16"/>
      <c r="BQ88" s="16"/>
      <c r="BR88" s="16"/>
      <c r="BS88" s="16"/>
      <c r="BT88" s="16"/>
      <c r="BU88" s="16"/>
      <c r="BV88" s="56"/>
      <c r="BW88" s="16"/>
      <c r="BX88" s="16"/>
      <c r="BY88" s="16"/>
      <c r="BZ88" s="16"/>
      <c r="CA88" s="16"/>
      <c r="CB88" s="16"/>
      <c r="CC88" s="16"/>
      <c r="CD88" s="16"/>
      <c r="CE88" s="111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5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56"/>
      <c r="DZ88" s="56"/>
      <c r="EA88" s="56"/>
      <c r="EB88" s="56"/>
      <c r="EC88" s="56"/>
      <c r="ED88" s="56"/>
      <c r="EE88" s="56"/>
      <c r="EF88" s="56"/>
      <c r="EG88" s="56"/>
      <c r="EH88" s="56"/>
      <c r="EI88" s="56"/>
      <c r="EJ88" s="56"/>
      <c r="EK88" s="56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  <c r="FL88" s="12"/>
      <c r="FM88" s="12"/>
      <c r="FN88" s="12"/>
      <c r="FO88" s="12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  <c r="GR88" s="25"/>
      <c r="GS88" s="25"/>
      <c r="GT88" s="25"/>
      <c r="GU88" s="25"/>
      <c r="GV88" s="25"/>
      <c r="GW88" s="25"/>
      <c r="GX88" s="25"/>
      <c r="GY88" s="25"/>
      <c r="GZ88" s="25"/>
      <c r="HA88" s="25"/>
      <c r="HB88" s="25"/>
      <c r="HC88" s="25"/>
      <c r="HD88" s="25"/>
      <c r="HE88" s="25"/>
      <c r="HF88" s="16"/>
      <c r="HG88" s="16"/>
      <c r="HH88" s="16"/>
      <c r="HI88" s="16"/>
      <c r="HJ88" s="16"/>
      <c r="HK88" s="16"/>
      <c r="HL88" s="16"/>
      <c r="HM88" s="51"/>
      <c r="HN88" s="51"/>
      <c r="HO88" s="51"/>
      <c r="HP88" s="51"/>
      <c r="HQ88" s="51"/>
      <c r="HR88" s="51"/>
      <c r="HS88"/>
      <c r="HT88"/>
      <c r="HU88"/>
      <c r="HV88"/>
    </row>
    <row r="89" spans="1:230" s="1" customForma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T89" s="32"/>
      <c r="U89" s="4"/>
      <c r="AN89" s="32"/>
      <c r="AO89" s="16"/>
      <c r="AP89" s="16"/>
      <c r="AQ89" s="16"/>
      <c r="AR89" s="32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32"/>
      <c r="BE89" s="16"/>
      <c r="BF89" s="16"/>
      <c r="BG89" s="16"/>
      <c r="BH89" s="32"/>
      <c r="BI89" s="32"/>
      <c r="BJ89" s="32"/>
      <c r="BK89" s="32"/>
      <c r="BL89" s="32"/>
      <c r="BM89" s="32"/>
      <c r="BN89" s="16"/>
      <c r="BO89" s="16"/>
      <c r="BP89" s="16"/>
      <c r="BQ89" s="16"/>
      <c r="BR89" s="16"/>
      <c r="BS89" s="16"/>
      <c r="BT89" s="16"/>
      <c r="BU89" s="16"/>
      <c r="BV89" s="56"/>
      <c r="BW89" s="16"/>
      <c r="BX89" s="16"/>
      <c r="BY89" s="16"/>
      <c r="BZ89" s="16"/>
      <c r="CA89" s="16"/>
      <c r="CB89" s="16"/>
      <c r="CC89" s="16"/>
      <c r="CD89" s="16"/>
      <c r="CE89" s="111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5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56"/>
      <c r="DZ89" s="56"/>
      <c r="EA89" s="56"/>
      <c r="EB89" s="56"/>
      <c r="EC89" s="56"/>
      <c r="ED89" s="56"/>
      <c r="EE89" s="56"/>
      <c r="EF89" s="56"/>
      <c r="EG89" s="56"/>
      <c r="EH89" s="56"/>
      <c r="EI89" s="56"/>
      <c r="EJ89" s="56"/>
      <c r="EK89" s="56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  <c r="EY89" s="12"/>
      <c r="EZ89" s="12"/>
      <c r="FA89" s="12"/>
      <c r="FB89" s="12"/>
      <c r="FC89" s="12"/>
      <c r="FD89" s="12"/>
      <c r="FE89" s="12"/>
      <c r="FF89" s="12"/>
      <c r="FG89" s="12"/>
      <c r="FH89" s="12"/>
      <c r="FI89" s="12"/>
      <c r="FJ89" s="12"/>
      <c r="FK89" s="12"/>
      <c r="FL89" s="12"/>
      <c r="FM89" s="12"/>
      <c r="FN89" s="12"/>
      <c r="FO89" s="12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  <c r="GR89" s="25"/>
      <c r="GS89" s="25"/>
      <c r="GT89" s="25"/>
      <c r="GU89" s="25"/>
      <c r="GV89" s="25"/>
      <c r="GW89" s="25"/>
      <c r="GX89" s="25"/>
      <c r="GY89" s="25"/>
      <c r="GZ89" s="25"/>
      <c r="HA89" s="25"/>
      <c r="HB89" s="25"/>
      <c r="HC89" s="25"/>
      <c r="HD89" s="25"/>
      <c r="HE89" s="25"/>
      <c r="HF89" s="16"/>
      <c r="HG89" s="16"/>
      <c r="HH89" s="16"/>
      <c r="HI89" s="16"/>
      <c r="HJ89" s="16"/>
      <c r="HK89" s="16"/>
      <c r="HL89" s="16"/>
      <c r="HM89" s="51"/>
      <c r="HN89" s="51"/>
      <c r="HO89" s="51"/>
      <c r="HP89" s="51"/>
      <c r="HQ89" s="51"/>
      <c r="HR89" s="51"/>
      <c r="HS89"/>
      <c r="HT89"/>
      <c r="HU89"/>
      <c r="HV89"/>
    </row>
    <row r="90" spans="1:230" s="1" customForma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T90" s="32"/>
      <c r="U90" s="4"/>
      <c r="AN90" s="32"/>
      <c r="AO90" s="16"/>
      <c r="AP90" s="16"/>
      <c r="AQ90" s="16"/>
      <c r="AR90" s="32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32"/>
      <c r="BE90" s="16"/>
      <c r="BF90" s="16"/>
      <c r="BG90" s="16"/>
      <c r="BH90" s="32"/>
      <c r="BI90" s="32"/>
      <c r="BJ90" s="32"/>
      <c r="BK90" s="32"/>
      <c r="BL90" s="32"/>
      <c r="BM90" s="32"/>
      <c r="BN90" s="16"/>
      <c r="BO90" s="16"/>
      <c r="BP90" s="16"/>
      <c r="BQ90" s="16"/>
      <c r="BR90" s="16"/>
      <c r="BS90" s="16"/>
      <c r="BT90" s="16"/>
      <c r="BU90" s="16"/>
      <c r="BV90" s="56"/>
      <c r="BW90" s="16"/>
      <c r="BX90" s="16"/>
      <c r="BY90" s="16"/>
      <c r="BZ90" s="16"/>
      <c r="CA90" s="16"/>
      <c r="CB90" s="16"/>
      <c r="CC90" s="16"/>
      <c r="CD90" s="16"/>
      <c r="CE90" s="111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5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56"/>
      <c r="DZ90" s="56"/>
      <c r="EA90" s="56"/>
      <c r="EB90" s="56"/>
      <c r="EC90" s="56"/>
      <c r="ED90" s="56"/>
      <c r="EE90" s="56"/>
      <c r="EF90" s="56"/>
      <c r="EG90" s="56"/>
      <c r="EH90" s="56"/>
      <c r="EI90" s="56"/>
      <c r="EJ90" s="56"/>
      <c r="EK90" s="56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  <c r="EY90" s="12"/>
      <c r="EZ90" s="12"/>
      <c r="FA90" s="12"/>
      <c r="FB90" s="12"/>
      <c r="FC90" s="12"/>
      <c r="FD90" s="12"/>
      <c r="FE90" s="12"/>
      <c r="FF90" s="12"/>
      <c r="FG90" s="12"/>
      <c r="FH90" s="12"/>
      <c r="FI90" s="12"/>
      <c r="FJ90" s="12"/>
      <c r="FK90" s="12"/>
      <c r="FL90" s="12"/>
      <c r="FM90" s="12"/>
      <c r="FN90" s="12"/>
      <c r="FO90" s="12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  <c r="GP90" s="25"/>
      <c r="GQ90" s="25"/>
      <c r="GR90" s="25"/>
      <c r="GS90" s="25"/>
      <c r="GT90" s="25"/>
      <c r="GU90" s="25"/>
      <c r="GV90" s="25"/>
      <c r="GW90" s="25"/>
      <c r="GX90" s="25"/>
      <c r="GY90" s="25"/>
      <c r="GZ90" s="25"/>
      <c r="HA90" s="25"/>
      <c r="HB90" s="25"/>
      <c r="HC90" s="25"/>
      <c r="HD90" s="25"/>
      <c r="HE90" s="25"/>
      <c r="HF90" s="16"/>
      <c r="HG90" s="16"/>
      <c r="HH90" s="16"/>
      <c r="HI90" s="16"/>
      <c r="HJ90" s="16"/>
      <c r="HK90" s="16"/>
      <c r="HL90" s="16"/>
      <c r="HM90" s="51"/>
      <c r="HN90" s="51"/>
      <c r="HO90" s="51"/>
      <c r="HP90" s="51"/>
      <c r="HQ90" s="51"/>
      <c r="HR90" s="51"/>
      <c r="HS90"/>
      <c r="HT90"/>
      <c r="HU90"/>
      <c r="HV90"/>
    </row>
    <row r="91" spans="1:230" s="1" customForma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T91" s="32"/>
      <c r="U91" s="4"/>
      <c r="AN91" s="32"/>
      <c r="AO91" s="16"/>
      <c r="AP91" s="16"/>
      <c r="AQ91" s="16"/>
      <c r="AR91" s="32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32"/>
      <c r="BE91" s="16"/>
      <c r="BF91" s="16"/>
      <c r="BG91" s="16"/>
      <c r="BH91" s="32"/>
      <c r="BI91" s="32"/>
      <c r="BJ91" s="32"/>
      <c r="BK91" s="32"/>
      <c r="BL91" s="32"/>
      <c r="BM91" s="32"/>
      <c r="BN91" s="16"/>
      <c r="BO91" s="16"/>
      <c r="BP91" s="16"/>
      <c r="BQ91" s="16"/>
      <c r="BR91" s="16"/>
      <c r="BS91" s="16"/>
      <c r="BT91" s="16"/>
      <c r="BU91" s="16"/>
      <c r="BV91" s="56"/>
      <c r="BW91" s="16"/>
      <c r="BX91" s="16"/>
      <c r="BY91" s="16"/>
      <c r="BZ91" s="16"/>
      <c r="CA91" s="16"/>
      <c r="CB91" s="16"/>
      <c r="CC91" s="16"/>
      <c r="CD91" s="16"/>
      <c r="CE91" s="111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5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56"/>
      <c r="DZ91" s="56"/>
      <c r="EA91" s="56"/>
      <c r="EB91" s="56"/>
      <c r="EC91" s="56"/>
      <c r="ED91" s="56"/>
      <c r="EE91" s="56"/>
      <c r="EF91" s="56"/>
      <c r="EG91" s="56"/>
      <c r="EH91" s="56"/>
      <c r="EI91" s="56"/>
      <c r="EJ91" s="56"/>
      <c r="EK91" s="56"/>
      <c r="EL91" s="12"/>
      <c r="EM91" s="12"/>
      <c r="EN91" s="12"/>
      <c r="EO91" s="12"/>
      <c r="EP91" s="12"/>
      <c r="EQ91" s="12"/>
      <c r="ER91" s="12"/>
      <c r="ES91" s="12"/>
      <c r="ET91" s="12"/>
      <c r="EU91" s="12"/>
      <c r="EV91" s="12"/>
      <c r="EW91" s="12"/>
      <c r="EX91" s="12"/>
      <c r="EY91" s="12"/>
      <c r="EZ91" s="12"/>
      <c r="FA91" s="12"/>
      <c r="FB91" s="12"/>
      <c r="FC91" s="12"/>
      <c r="FD91" s="12"/>
      <c r="FE91" s="12"/>
      <c r="FF91" s="12"/>
      <c r="FG91" s="12"/>
      <c r="FH91" s="12"/>
      <c r="FI91" s="12"/>
      <c r="FJ91" s="12"/>
      <c r="FK91" s="12"/>
      <c r="FL91" s="12"/>
      <c r="FM91" s="12"/>
      <c r="FN91" s="12"/>
      <c r="FO91" s="12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  <c r="GR91" s="25"/>
      <c r="GS91" s="25"/>
      <c r="GT91" s="25"/>
      <c r="GU91" s="25"/>
      <c r="GV91" s="25"/>
      <c r="GW91" s="25"/>
      <c r="GX91" s="25"/>
      <c r="GY91" s="25"/>
      <c r="GZ91" s="25"/>
      <c r="HA91" s="25"/>
      <c r="HB91" s="25"/>
      <c r="HC91" s="25"/>
      <c r="HD91" s="25"/>
      <c r="HE91" s="25"/>
      <c r="HF91" s="16"/>
      <c r="HG91" s="16"/>
      <c r="HH91" s="16"/>
      <c r="HI91" s="16"/>
      <c r="HJ91" s="16"/>
      <c r="HK91" s="16"/>
      <c r="HL91" s="16"/>
      <c r="HM91" s="51"/>
      <c r="HN91" s="51"/>
      <c r="HO91" s="51"/>
      <c r="HP91" s="51"/>
      <c r="HQ91" s="51"/>
      <c r="HR91" s="51"/>
      <c r="HS91"/>
      <c r="HT91"/>
      <c r="HU91"/>
      <c r="HV91"/>
    </row>
    <row r="92" spans="1:230" s="1" customForma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T92" s="32"/>
      <c r="U92" s="4"/>
      <c r="AN92" s="32"/>
      <c r="AO92" s="16"/>
      <c r="AP92" s="16"/>
      <c r="AQ92" s="16"/>
      <c r="AR92" s="32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32"/>
      <c r="BE92" s="16"/>
      <c r="BF92" s="16"/>
      <c r="BG92" s="16"/>
      <c r="BH92" s="32"/>
      <c r="BI92" s="32"/>
      <c r="BJ92" s="32"/>
      <c r="BK92" s="32"/>
      <c r="BL92" s="32"/>
      <c r="BM92" s="32"/>
      <c r="BN92" s="16"/>
      <c r="BO92" s="16"/>
      <c r="BP92" s="16"/>
      <c r="BQ92" s="16"/>
      <c r="BR92" s="16"/>
      <c r="BS92" s="16"/>
      <c r="BT92" s="16"/>
      <c r="BU92" s="16"/>
      <c r="BV92" s="56"/>
      <c r="BW92" s="16"/>
      <c r="BX92" s="16"/>
      <c r="BY92" s="16"/>
      <c r="BZ92" s="16"/>
      <c r="CA92" s="16"/>
      <c r="CB92" s="16"/>
      <c r="CC92" s="16"/>
      <c r="CD92" s="16"/>
      <c r="CE92" s="111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5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56"/>
      <c r="DZ92" s="56"/>
      <c r="EA92" s="56"/>
      <c r="EB92" s="56"/>
      <c r="EC92" s="56"/>
      <c r="ED92" s="56"/>
      <c r="EE92" s="56"/>
      <c r="EF92" s="56"/>
      <c r="EG92" s="56"/>
      <c r="EH92" s="56"/>
      <c r="EI92" s="56"/>
      <c r="EJ92" s="56"/>
      <c r="EK92" s="56"/>
      <c r="EL92" s="12"/>
      <c r="EM92" s="12"/>
      <c r="EN92" s="12"/>
      <c r="EO92" s="12"/>
      <c r="EP92" s="12"/>
      <c r="EQ92" s="12"/>
      <c r="ER92" s="12"/>
      <c r="ES92" s="12"/>
      <c r="ET92" s="12"/>
      <c r="EU92" s="12"/>
      <c r="EV92" s="12"/>
      <c r="EW92" s="12"/>
      <c r="EX92" s="12"/>
      <c r="EY92" s="12"/>
      <c r="EZ92" s="12"/>
      <c r="FA92" s="12"/>
      <c r="FB92" s="12"/>
      <c r="FC92" s="12"/>
      <c r="FD92" s="12"/>
      <c r="FE92" s="12"/>
      <c r="FF92" s="12"/>
      <c r="FG92" s="12"/>
      <c r="FH92" s="12"/>
      <c r="FI92" s="12"/>
      <c r="FJ92" s="12"/>
      <c r="FK92" s="12"/>
      <c r="FL92" s="12"/>
      <c r="FM92" s="12"/>
      <c r="FN92" s="12"/>
      <c r="FO92" s="12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  <c r="GR92" s="25"/>
      <c r="GS92" s="25"/>
      <c r="GT92" s="25"/>
      <c r="GU92" s="25"/>
      <c r="GV92" s="25"/>
      <c r="GW92" s="25"/>
      <c r="GX92" s="25"/>
      <c r="GY92" s="25"/>
      <c r="GZ92" s="25"/>
      <c r="HA92" s="25"/>
      <c r="HB92" s="25"/>
      <c r="HC92" s="25"/>
      <c r="HD92" s="25"/>
      <c r="HE92" s="25"/>
      <c r="HF92" s="16"/>
      <c r="HG92" s="16"/>
      <c r="HH92" s="16"/>
      <c r="HI92" s="16"/>
      <c r="HJ92" s="16"/>
      <c r="HK92" s="16"/>
      <c r="HL92" s="16"/>
      <c r="HM92" s="51"/>
      <c r="HN92" s="51"/>
      <c r="HO92" s="51"/>
      <c r="HP92" s="51"/>
      <c r="HQ92" s="51"/>
      <c r="HR92" s="51"/>
      <c r="HS92"/>
      <c r="HT92"/>
      <c r="HU92"/>
      <c r="HV92"/>
    </row>
    <row r="93" spans="1:230" s="1" customForma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T93" s="32"/>
      <c r="U93" s="4"/>
      <c r="AN93" s="32"/>
      <c r="AO93" s="16"/>
      <c r="AP93" s="16"/>
      <c r="AQ93" s="16"/>
      <c r="AR93" s="32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32"/>
      <c r="BE93" s="16"/>
      <c r="BF93" s="16"/>
      <c r="BG93" s="16"/>
      <c r="BH93" s="32"/>
      <c r="BI93" s="32"/>
      <c r="BJ93" s="32"/>
      <c r="BK93" s="32"/>
      <c r="BL93" s="32"/>
      <c r="BM93" s="32"/>
      <c r="BN93" s="16"/>
      <c r="BO93" s="16"/>
      <c r="BP93" s="16"/>
      <c r="BQ93" s="16"/>
      <c r="BR93" s="16"/>
      <c r="BS93" s="16"/>
      <c r="BT93" s="16"/>
      <c r="BU93" s="16"/>
      <c r="BV93" s="56"/>
      <c r="BW93" s="16"/>
      <c r="BX93" s="16"/>
      <c r="BY93" s="16"/>
      <c r="BZ93" s="16"/>
      <c r="CA93" s="16"/>
      <c r="CB93" s="16"/>
      <c r="CC93" s="16"/>
      <c r="CD93" s="16"/>
      <c r="CE93" s="111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5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56"/>
      <c r="DZ93" s="56"/>
      <c r="EA93" s="56"/>
      <c r="EB93" s="56"/>
      <c r="EC93" s="56"/>
      <c r="ED93" s="56"/>
      <c r="EE93" s="56"/>
      <c r="EF93" s="56"/>
      <c r="EG93" s="56"/>
      <c r="EH93" s="56"/>
      <c r="EI93" s="56"/>
      <c r="EJ93" s="56"/>
      <c r="EK93" s="56"/>
      <c r="EL93" s="12"/>
      <c r="EM93" s="12"/>
      <c r="EN93" s="12"/>
      <c r="EO93" s="12"/>
      <c r="EP93" s="12"/>
      <c r="EQ93" s="12"/>
      <c r="ER93" s="12"/>
      <c r="ES93" s="12"/>
      <c r="ET93" s="12"/>
      <c r="EU93" s="12"/>
      <c r="EV93" s="12"/>
      <c r="EW93" s="12"/>
      <c r="EX93" s="12"/>
      <c r="EY93" s="12"/>
      <c r="EZ93" s="12"/>
      <c r="FA93" s="12"/>
      <c r="FB93" s="12"/>
      <c r="FC93" s="12"/>
      <c r="FD93" s="12"/>
      <c r="FE93" s="12"/>
      <c r="FF93" s="12"/>
      <c r="FG93" s="12"/>
      <c r="FH93" s="12"/>
      <c r="FI93" s="12"/>
      <c r="FJ93" s="12"/>
      <c r="FK93" s="12"/>
      <c r="FL93" s="12"/>
      <c r="FM93" s="12"/>
      <c r="FN93" s="12"/>
      <c r="FO93" s="12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  <c r="GR93" s="25"/>
      <c r="GS93" s="25"/>
      <c r="GT93" s="25"/>
      <c r="GU93" s="25"/>
      <c r="GV93" s="25"/>
      <c r="GW93" s="25"/>
      <c r="GX93" s="25"/>
      <c r="GY93" s="25"/>
      <c r="GZ93" s="25"/>
      <c r="HA93" s="25"/>
      <c r="HB93" s="25"/>
      <c r="HC93" s="25"/>
      <c r="HD93" s="25"/>
      <c r="HE93" s="25"/>
      <c r="HF93" s="16"/>
      <c r="HG93" s="16"/>
      <c r="HH93" s="16"/>
      <c r="HI93" s="16"/>
      <c r="HJ93" s="16"/>
      <c r="HK93" s="16"/>
      <c r="HL93" s="16"/>
      <c r="HM93" s="51"/>
      <c r="HN93" s="51"/>
      <c r="HO93" s="51"/>
      <c r="HP93" s="51"/>
      <c r="HQ93" s="51"/>
      <c r="HR93" s="51"/>
      <c r="HS93"/>
      <c r="HT93"/>
      <c r="HU93"/>
      <c r="HV93"/>
    </row>
    <row r="94" spans="1:230" s="1" customForma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T94" s="32"/>
      <c r="U94" s="4"/>
      <c r="AN94" s="32"/>
      <c r="AO94" s="16"/>
      <c r="AP94" s="16"/>
      <c r="AQ94" s="16"/>
      <c r="AR94" s="32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32"/>
      <c r="BE94" s="16"/>
      <c r="BF94" s="16"/>
      <c r="BG94" s="16"/>
      <c r="BH94" s="32"/>
      <c r="BI94" s="32"/>
      <c r="BJ94" s="32"/>
      <c r="BK94" s="32"/>
      <c r="BL94" s="32"/>
      <c r="BM94" s="32"/>
      <c r="BN94" s="16"/>
      <c r="BO94" s="16"/>
      <c r="BP94" s="16"/>
      <c r="BQ94" s="16"/>
      <c r="BR94" s="16"/>
      <c r="BS94" s="16"/>
      <c r="BT94" s="16"/>
      <c r="BU94" s="16"/>
      <c r="BV94" s="56"/>
      <c r="BW94" s="16"/>
      <c r="BX94" s="16"/>
      <c r="BY94" s="16"/>
      <c r="BZ94" s="16"/>
      <c r="CA94" s="16"/>
      <c r="CB94" s="16"/>
      <c r="CC94" s="16"/>
      <c r="CD94" s="16"/>
      <c r="CE94" s="111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5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56"/>
      <c r="DZ94" s="56"/>
      <c r="EA94" s="56"/>
      <c r="EB94" s="56"/>
      <c r="EC94" s="56"/>
      <c r="ED94" s="56"/>
      <c r="EE94" s="56"/>
      <c r="EF94" s="56"/>
      <c r="EG94" s="56"/>
      <c r="EH94" s="56"/>
      <c r="EI94" s="56"/>
      <c r="EJ94" s="56"/>
      <c r="EK94" s="56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  <c r="EY94" s="12"/>
      <c r="EZ94" s="12"/>
      <c r="FA94" s="12"/>
      <c r="FB94" s="12"/>
      <c r="FC94" s="12"/>
      <c r="FD94" s="12"/>
      <c r="FE94" s="12"/>
      <c r="FF94" s="12"/>
      <c r="FG94" s="12"/>
      <c r="FH94" s="12"/>
      <c r="FI94" s="12"/>
      <c r="FJ94" s="12"/>
      <c r="FK94" s="12"/>
      <c r="FL94" s="12"/>
      <c r="FM94" s="12"/>
      <c r="FN94" s="12"/>
      <c r="FO94" s="12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  <c r="GR94" s="25"/>
      <c r="GS94" s="25"/>
      <c r="GT94" s="25"/>
      <c r="GU94" s="25"/>
      <c r="GV94" s="25"/>
      <c r="GW94" s="25"/>
      <c r="GX94" s="25"/>
      <c r="GY94" s="25"/>
      <c r="GZ94" s="25"/>
      <c r="HA94" s="25"/>
      <c r="HB94" s="25"/>
      <c r="HC94" s="25"/>
      <c r="HD94" s="25"/>
      <c r="HE94" s="25"/>
      <c r="HF94" s="16"/>
      <c r="HG94" s="16"/>
      <c r="HH94" s="16"/>
      <c r="HI94" s="16"/>
      <c r="HJ94" s="16"/>
      <c r="HK94" s="16"/>
      <c r="HL94" s="16"/>
      <c r="HM94" s="51"/>
      <c r="HN94" s="51"/>
      <c r="HO94" s="51"/>
      <c r="HP94" s="51"/>
      <c r="HQ94" s="51"/>
      <c r="HR94" s="51"/>
      <c r="HS94"/>
      <c r="HT94"/>
      <c r="HU94"/>
      <c r="HV94"/>
    </row>
    <row r="95" spans="1:230" s="1" customForma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T95" s="32"/>
      <c r="U95" s="4"/>
      <c r="AN95" s="32"/>
      <c r="AO95" s="16"/>
      <c r="AP95" s="16"/>
      <c r="AQ95" s="16"/>
      <c r="AR95" s="32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32"/>
      <c r="BE95" s="16"/>
      <c r="BF95" s="16"/>
      <c r="BG95" s="16"/>
      <c r="BH95" s="32"/>
      <c r="BI95" s="32"/>
      <c r="BJ95" s="32"/>
      <c r="BK95" s="32"/>
      <c r="BL95" s="32"/>
      <c r="BM95" s="32"/>
      <c r="BN95" s="16"/>
      <c r="BO95" s="16"/>
      <c r="BP95" s="16"/>
      <c r="BQ95" s="16"/>
      <c r="BR95" s="16"/>
      <c r="BS95" s="16"/>
      <c r="BT95" s="16"/>
      <c r="BU95" s="16"/>
      <c r="BV95" s="56"/>
      <c r="BW95" s="16"/>
      <c r="BX95" s="16"/>
      <c r="BY95" s="16"/>
      <c r="BZ95" s="16"/>
      <c r="CA95" s="16"/>
      <c r="CB95" s="16"/>
      <c r="CC95" s="16"/>
      <c r="CD95" s="16"/>
      <c r="CE95" s="111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5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56"/>
      <c r="DZ95" s="56"/>
      <c r="EA95" s="56"/>
      <c r="EB95" s="56"/>
      <c r="EC95" s="56"/>
      <c r="ED95" s="56"/>
      <c r="EE95" s="56"/>
      <c r="EF95" s="56"/>
      <c r="EG95" s="56"/>
      <c r="EH95" s="56"/>
      <c r="EI95" s="56"/>
      <c r="EJ95" s="56"/>
      <c r="EK95" s="56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  <c r="EY95" s="12"/>
      <c r="EZ95" s="12"/>
      <c r="FA95" s="12"/>
      <c r="FB95" s="12"/>
      <c r="FC95" s="12"/>
      <c r="FD95" s="12"/>
      <c r="FE95" s="12"/>
      <c r="FF95" s="12"/>
      <c r="FG95" s="12"/>
      <c r="FH95" s="12"/>
      <c r="FI95" s="12"/>
      <c r="FJ95" s="12"/>
      <c r="FK95" s="12"/>
      <c r="FL95" s="12"/>
      <c r="FM95" s="12"/>
      <c r="FN95" s="12"/>
      <c r="FO95" s="12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  <c r="GO95" s="25"/>
      <c r="GP95" s="25"/>
      <c r="GQ95" s="25"/>
      <c r="GR95" s="25"/>
      <c r="GS95" s="25"/>
      <c r="GT95" s="25"/>
      <c r="GU95" s="25"/>
      <c r="GV95" s="25"/>
      <c r="GW95" s="25"/>
      <c r="GX95" s="25"/>
      <c r="GY95" s="25"/>
      <c r="GZ95" s="25"/>
      <c r="HA95" s="25"/>
      <c r="HB95" s="25"/>
      <c r="HC95" s="25"/>
      <c r="HD95" s="25"/>
      <c r="HE95" s="25"/>
      <c r="HF95" s="16"/>
      <c r="HG95" s="16"/>
      <c r="HH95" s="16"/>
      <c r="HI95" s="16"/>
      <c r="HJ95" s="16"/>
      <c r="HK95" s="16"/>
      <c r="HL95" s="16"/>
      <c r="HM95" s="51"/>
      <c r="HN95" s="51"/>
      <c r="HO95" s="51"/>
      <c r="HP95" s="51"/>
      <c r="HQ95" s="51"/>
      <c r="HR95" s="51"/>
      <c r="HS95"/>
      <c r="HT95"/>
      <c r="HU95"/>
      <c r="HV95"/>
    </row>
    <row r="96" spans="1:230" s="1" customForma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T96" s="32"/>
      <c r="U96" s="4"/>
      <c r="AN96" s="32"/>
      <c r="AO96" s="16"/>
      <c r="AP96" s="16"/>
      <c r="AQ96" s="16"/>
      <c r="AR96" s="32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32"/>
      <c r="BE96" s="16"/>
      <c r="BF96" s="16"/>
      <c r="BG96" s="16"/>
      <c r="BH96" s="32"/>
      <c r="BI96" s="32"/>
      <c r="BJ96" s="32"/>
      <c r="BK96" s="32"/>
      <c r="BL96" s="32"/>
      <c r="BM96" s="32"/>
      <c r="BN96" s="16"/>
      <c r="BO96" s="16"/>
      <c r="BP96" s="16"/>
      <c r="BQ96" s="16"/>
      <c r="BR96" s="16"/>
      <c r="BS96" s="16"/>
      <c r="BT96" s="16"/>
      <c r="BU96" s="16"/>
      <c r="BV96" s="56"/>
      <c r="BW96" s="16"/>
      <c r="BX96" s="16"/>
      <c r="BY96" s="16"/>
      <c r="BZ96" s="16"/>
      <c r="CA96" s="16"/>
      <c r="CB96" s="16"/>
      <c r="CC96" s="16"/>
      <c r="CD96" s="16"/>
      <c r="CE96" s="111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5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56"/>
      <c r="DZ96" s="56"/>
      <c r="EA96" s="56"/>
      <c r="EB96" s="56"/>
      <c r="EC96" s="56"/>
      <c r="ED96" s="56"/>
      <c r="EE96" s="56"/>
      <c r="EF96" s="56"/>
      <c r="EG96" s="56"/>
      <c r="EH96" s="56"/>
      <c r="EI96" s="56"/>
      <c r="EJ96" s="56"/>
      <c r="EK96" s="56"/>
      <c r="EL96" s="12"/>
      <c r="EM96" s="12"/>
      <c r="EN96" s="12"/>
      <c r="EO96" s="12"/>
      <c r="EP96" s="12"/>
      <c r="EQ96" s="12"/>
      <c r="ER96" s="12"/>
      <c r="ES96" s="12"/>
      <c r="ET96" s="12"/>
      <c r="EU96" s="12"/>
      <c r="EV96" s="12"/>
      <c r="EW96" s="12"/>
      <c r="EX96" s="12"/>
      <c r="EY96" s="12"/>
      <c r="EZ96" s="12"/>
      <c r="FA96" s="12"/>
      <c r="FB96" s="12"/>
      <c r="FC96" s="12"/>
      <c r="FD96" s="12"/>
      <c r="FE96" s="12"/>
      <c r="FF96" s="12"/>
      <c r="FG96" s="12"/>
      <c r="FH96" s="12"/>
      <c r="FI96" s="12"/>
      <c r="FJ96" s="12"/>
      <c r="FK96" s="12"/>
      <c r="FL96" s="12"/>
      <c r="FM96" s="12"/>
      <c r="FN96" s="12"/>
      <c r="FO96" s="12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25"/>
      <c r="GH96" s="25"/>
      <c r="GI96" s="25"/>
      <c r="GJ96" s="25"/>
      <c r="GK96" s="25"/>
      <c r="GL96" s="25"/>
      <c r="GM96" s="25"/>
      <c r="GN96" s="25"/>
      <c r="GO96" s="25"/>
      <c r="GP96" s="25"/>
      <c r="GQ96" s="25"/>
      <c r="GR96" s="25"/>
      <c r="GS96" s="25"/>
      <c r="GT96" s="25"/>
      <c r="GU96" s="25"/>
      <c r="GV96" s="25"/>
      <c r="GW96" s="25"/>
      <c r="GX96" s="25"/>
      <c r="GY96" s="25"/>
      <c r="GZ96" s="25"/>
      <c r="HA96" s="25"/>
      <c r="HB96" s="25"/>
      <c r="HC96" s="25"/>
      <c r="HD96" s="25"/>
      <c r="HE96" s="25"/>
      <c r="HF96" s="16"/>
      <c r="HG96" s="16"/>
      <c r="HH96" s="16"/>
      <c r="HI96" s="16"/>
      <c r="HJ96" s="16"/>
      <c r="HK96" s="16"/>
      <c r="HL96" s="16"/>
      <c r="HM96" s="51"/>
      <c r="HN96" s="51"/>
      <c r="HO96" s="51"/>
      <c r="HP96" s="51"/>
      <c r="HQ96" s="51"/>
      <c r="HR96" s="51"/>
      <c r="HS96"/>
      <c r="HT96"/>
      <c r="HU96"/>
      <c r="HV96"/>
    </row>
    <row r="97" spans="1:230" s="1" customForma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T97" s="32"/>
      <c r="U97" s="4"/>
      <c r="AN97" s="32"/>
      <c r="AO97" s="16"/>
      <c r="AP97" s="16"/>
      <c r="AQ97" s="16"/>
      <c r="AR97" s="32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32"/>
      <c r="BE97" s="16"/>
      <c r="BF97" s="16"/>
      <c r="BG97" s="16"/>
      <c r="BH97" s="32"/>
      <c r="BI97" s="32"/>
      <c r="BJ97" s="32"/>
      <c r="BK97" s="32"/>
      <c r="BL97" s="32"/>
      <c r="BM97" s="32"/>
      <c r="BN97" s="16"/>
      <c r="BO97" s="16"/>
      <c r="BP97" s="16"/>
      <c r="BQ97" s="16"/>
      <c r="BR97" s="16"/>
      <c r="BS97" s="16"/>
      <c r="BT97" s="16"/>
      <c r="BU97" s="16"/>
      <c r="BV97" s="56"/>
      <c r="BW97" s="16"/>
      <c r="BX97" s="16"/>
      <c r="BY97" s="16"/>
      <c r="BZ97" s="16"/>
      <c r="CA97" s="16"/>
      <c r="CB97" s="16"/>
      <c r="CC97" s="16"/>
      <c r="CD97" s="16"/>
      <c r="CE97" s="111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5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56"/>
      <c r="DZ97" s="56"/>
      <c r="EA97" s="56"/>
      <c r="EB97" s="56"/>
      <c r="EC97" s="56"/>
      <c r="ED97" s="56"/>
      <c r="EE97" s="56"/>
      <c r="EF97" s="56"/>
      <c r="EG97" s="56"/>
      <c r="EH97" s="56"/>
      <c r="EI97" s="56"/>
      <c r="EJ97" s="56"/>
      <c r="EK97" s="56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25"/>
      <c r="GB97" s="25"/>
      <c r="GC97" s="25"/>
      <c r="GD97" s="25"/>
      <c r="GE97" s="25"/>
      <c r="GF97" s="25"/>
      <c r="GG97" s="25"/>
      <c r="GH97" s="25"/>
      <c r="GI97" s="25"/>
      <c r="GJ97" s="25"/>
      <c r="GK97" s="25"/>
      <c r="GL97" s="25"/>
      <c r="GM97" s="25"/>
      <c r="GN97" s="25"/>
      <c r="GO97" s="25"/>
      <c r="GP97" s="25"/>
      <c r="GQ97" s="25"/>
      <c r="GR97" s="25"/>
      <c r="GS97" s="25"/>
      <c r="GT97" s="25"/>
      <c r="GU97" s="25"/>
      <c r="GV97" s="25"/>
      <c r="GW97" s="25"/>
      <c r="GX97" s="25"/>
      <c r="GY97" s="25"/>
      <c r="GZ97" s="25"/>
      <c r="HA97" s="25"/>
      <c r="HB97" s="25"/>
      <c r="HC97" s="25"/>
      <c r="HD97" s="25"/>
      <c r="HE97" s="25"/>
      <c r="HF97" s="16"/>
      <c r="HG97" s="16"/>
      <c r="HH97" s="16"/>
      <c r="HI97" s="16"/>
      <c r="HJ97" s="16"/>
      <c r="HK97" s="16"/>
      <c r="HL97" s="16"/>
      <c r="HM97" s="51"/>
      <c r="HN97" s="51"/>
      <c r="HO97" s="51"/>
      <c r="HP97" s="51"/>
      <c r="HQ97" s="51"/>
      <c r="HR97" s="51"/>
      <c r="HS97"/>
      <c r="HT97"/>
      <c r="HU97"/>
      <c r="HV97"/>
    </row>
    <row r="98" spans="1:230" s="1" customForma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T98" s="32"/>
      <c r="U98" s="4"/>
      <c r="AN98" s="32"/>
      <c r="AO98" s="16"/>
      <c r="AP98" s="16"/>
      <c r="AQ98" s="16"/>
      <c r="AR98" s="32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32"/>
      <c r="BE98" s="16"/>
      <c r="BF98" s="16"/>
      <c r="BG98" s="16"/>
      <c r="BH98" s="32"/>
      <c r="BI98" s="32"/>
      <c r="BJ98" s="32"/>
      <c r="BK98" s="32"/>
      <c r="BL98" s="32"/>
      <c r="BM98" s="32"/>
      <c r="BN98" s="16"/>
      <c r="BO98" s="16"/>
      <c r="BP98" s="16"/>
      <c r="BQ98" s="16"/>
      <c r="BR98" s="16"/>
      <c r="BS98" s="16"/>
      <c r="BT98" s="16"/>
      <c r="BU98" s="16"/>
      <c r="BV98" s="56"/>
      <c r="BW98" s="16"/>
      <c r="BX98" s="16"/>
      <c r="BY98" s="16"/>
      <c r="BZ98" s="16"/>
      <c r="CA98" s="16"/>
      <c r="CB98" s="16"/>
      <c r="CC98" s="16"/>
      <c r="CD98" s="16"/>
      <c r="CE98" s="111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5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56"/>
      <c r="DZ98" s="56"/>
      <c r="EA98" s="56"/>
      <c r="EB98" s="56"/>
      <c r="EC98" s="56"/>
      <c r="ED98" s="56"/>
      <c r="EE98" s="56"/>
      <c r="EF98" s="56"/>
      <c r="EG98" s="56"/>
      <c r="EH98" s="56"/>
      <c r="EI98" s="56"/>
      <c r="EJ98" s="56"/>
      <c r="EK98" s="56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  <c r="EY98" s="12"/>
      <c r="EZ98" s="12"/>
      <c r="FA98" s="12"/>
      <c r="FB98" s="12"/>
      <c r="FC98" s="12"/>
      <c r="FD98" s="12"/>
      <c r="FE98" s="12"/>
      <c r="FF98" s="12"/>
      <c r="FG98" s="12"/>
      <c r="FH98" s="12"/>
      <c r="FI98" s="12"/>
      <c r="FJ98" s="12"/>
      <c r="FK98" s="12"/>
      <c r="FL98" s="12"/>
      <c r="FM98" s="12"/>
      <c r="FN98" s="12"/>
      <c r="FO98" s="12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  <c r="GJ98" s="25"/>
      <c r="GK98" s="25"/>
      <c r="GL98" s="25"/>
      <c r="GM98" s="25"/>
      <c r="GN98" s="25"/>
      <c r="GO98" s="25"/>
      <c r="GP98" s="25"/>
      <c r="GQ98" s="25"/>
      <c r="GR98" s="25"/>
      <c r="GS98" s="25"/>
      <c r="GT98" s="25"/>
      <c r="GU98" s="25"/>
      <c r="GV98" s="25"/>
      <c r="GW98" s="25"/>
      <c r="GX98" s="25"/>
      <c r="GY98" s="25"/>
      <c r="GZ98" s="25"/>
      <c r="HA98" s="25"/>
      <c r="HB98" s="25"/>
      <c r="HC98" s="25"/>
      <c r="HD98" s="25"/>
      <c r="HE98" s="25"/>
      <c r="HF98" s="16"/>
      <c r="HG98" s="16"/>
      <c r="HH98" s="16"/>
      <c r="HI98" s="16"/>
      <c r="HJ98" s="16"/>
      <c r="HK98" s="16"/>
      <c r="HL98" s="16"/>
      <c r="HM98" s="51"/>
      <c r="HN98" s="51"/>
      <c r="HO98" s="51"/>
      <c r="HP98" s="51"/>
      <c r="HQ98" s="51"/>
      <c r="HR98" s="51"/>
      <c r="HS98"/>
      <c r="HT98"/>
      <c r="HU98"/>
      <c r="HV98"/>
    </row>
    <row r="99" spans="1:230" s="1" customForma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T99" s="32"/>
      <c r="U99" s="4"/>
      <c r="AN99" s="32"/>
      <c r="AO99" s="16"/>
      <c r="AP99" s="16"/>
      <c r="AQ99" s="16"/>
      <c r="AR99" s="32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32"/>
      <c r="BE99" s="16"/>
      <c r="BF99" s="16"/>
      <c r="BG99" s="16"/>
      <c r="BH99" s="32"/>
      <c r="BI99" s="32"/>
      <c r="BJ99" s="32"/>
      <c r="BK99" s="32"/>
      <c r="BL99" s="32"/>
      <c r="BM99" s="32"/>
      <c r="BN99" s="16"/>
      <c r="BO99" s="16"/>
      <c r="BP99" s="16"/>
      <c r="BQ99" s="16"/>
      <c r="BR99" s="16"/>
      <c r="BS99" s="16"/>
      <c r="BT99" s="16"/>
      <c r="BU99" s="16"/>
      <c r="BV99" s="56"/>
      <c r="BW99" s="16"/>
      <c r="BX99" s="16"/>
      <c r="BY99" s="16"/>
      <c r="BZ99" s="16"/>
      <c r="CA99" s="16"/>
      <c r="CB99" s="16"/>
      <c r="CC99" s="16"/>
      <c r="CD99" s="16"/>
      <c r="CE99" s="111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5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56"/>
      <c r="DZ99" s="56"/>
      <c r="EA99" s="56"/>
      <c r="EB99" s="56"/>
      <c r="EC99" s="56"/>
      <c r="ED99" s="56"/>
      <c r="EE99" s="56"/>
      <c r="EF99" s="56"/>
      <c r="EG99" s="56"/>
      <c r="EH99" s="56"/>
      <c r="EI99" s="56"/>
      <c r="EJ99" s="56"/>
      <c r="EK99" s="56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  <c r="EY99" s="12"/>
      <c r="EZ99" s="12"/>
      <c r="FA99" s="12"/>
      <c r="FB99" s="12"/>
      <c r="FC99" s="12"/>
      <c r="FD99" s="12"/>
      <c r="FE99" s="12"/>
      <c r="FF99" s="12"/>
      <c r="FG99" s="12"/>
      <c r="FH99" s="12"/>
      <c r="FI99" s="12"/>
      <c r="FJ99" s="12"/>
      <c r="FK99" s="12"/>
      <c r="FL99" s="12"/>
      <c r="FM99" s="12"/>
      <c r="FN99" s="12"/>
      <c r="FO99" s="12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  <c r="GJ99" s="25"/>
      <c r="GK99" s="25"/>
      <c r="GL99" s="25"/>
      <c r="GM99" s="25"/>
      <c r="GN99" s="25"/>
      <c r="GO99" s="25"/>
      <c r="GP99" s="25"/>
      <c r="GQ99" s="25"/>
      <c r="GR99" s="25"/>
      <c r="GS99" s="25"/>
      <c r="GT99" s="25"/>
      <c r="GU99" s="25"/>
      <c r="GV99" s="25"/>
      <c r="GW99" s="25"/>
      <c r="GX99" s="25"/>
      <c r="GY99" s="25"/>
      <c r="GZ99" s="25"/>
      <c r="HA99" s="25"/>
      <c r="HB99" s="25"/>
      <c r="HC99" s="25"/>
      <c r="HD99" s="25"/>
      <c r="HE99" s="25"/>
      <c r="HF99" s="16"/>
      <c r="HG99" s="16"/>
      <c r="HH99" s="16"/>
      <c r="HI99" s="16"/>
      <c r="HJ99" s="16"/>
      <c r="HK99" s="16"/>
      <c r="HL99" s="16"/>
      <c r="HM99" s="51"/>
      <c r="HN99" s="51"/>
      <c r="HO99" s="51"/>
      <c r="HP99" s="51"/>
      <c r="HQ99" s="51"/>
      <c r="HR99" s="51"/>
      <c r="HS99"/>
      <c r="HT99"/>
      <c r="HU99"/>
      <c r="HV99"/>
    </row>
    <row r="100" spans="1:230" s="1" customForma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T100" s="32"/>
      <c r="U100" s="4"/>
      <c r="AN100" s="32"/>
      <c r="AO100" s="16"/>
      <c r="AP100" s="16"/>
      <c r="AQ100" s="16"/>
      <c r="AR100" s="32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32"/>
      <c r="BE100" s="16"/>
      <c r="BF100" s="16"/>
      <c r="BG100" s="16"/>
      <c r="BH100" s="32"/>
      <c r="BI100" s="32"/>
      <c r="BJ100" s="32"/>
      <c r="BK100" s="32"/>
      <c r="BL100" s="32"/>
      <c r="BM100" s="32"/>
      <c r="BN100" s="16"/>
      <c r="BO100" s="16"/>
      <c r="BP100" s="16"/>
      <c r="BQ100" s="16"/>
      <c r="BR100" s="16"/>
      <c r="BS100" s="16"/>
      <c r="BT100" s="16"/>
      <c r="BU100" s="16"/>
      <c r="BV100" s="56"/>
      <c r="BW100" s="16"/>
      <c r="BX100" s="16"/>
      <c r="BY100" s="16"/>
      <c r="BZ100" s="16"/>
      <c r="CA100" s="16"/>
      <c r="CB100" s="16"/>
      <c r="CC100" s="16"/>
      <c r="CD100" s="16"/>
      <c r="CE100" s="111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5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56"/>
      <c r="DZ100" s="56"/>
      <c r="EA100" s="56"/>
      <c r="EB100" s="56"/>
      <c r="EC100" s="56"/>
      <c r="ED100" s="56"/>
      <c r="EE100" s="56"/>
      <c r="EF100" s="56"/>
      <c r="EG100" s="56"/>
      <c r="EH100" s="56"/>
      <c r="EI100" s="56"/>
      <c r="EJ100" s="56"/>
      <c r="EK100" s="56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  <c r="EY100" s="12"/>
      <c r="EZ100" s="12"/>
      <c r="FA100" s="12"/>
      <c r="FB100" s="12"/>
      <c r="FC100" s="12"/>
      <c r="FD100" s="12"/>
      <c r="FE100" s="12"/>
      <c r="FF100" s="12"/>
      <c r="FG100" s="12"/>
      <c r="FH100" s="12"/>
      <c r="FI100" s="12"/>
      <c r="FJ100" s="12"/>
      <c r="FK100" s="12"/>
      <c r="FL100" s="12"/>
      <c r="FM100" s="12"/>
      <c r="FN100" s="12"/>
      <c r="FO100" s="12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  <c r="GO100" s="25"/>
      <c r="GP100" s="25"/>
      <c r="GQ100" s="25"/>
      <c r="GR100" s="25"/>
      <c r="GS100" s="25"/>
      <c r="GT100" s="25"/>
      <c r="GU100" s="25"/>
      <c r="GV100" s="25"/>
      <c r="GW100" s="25"/>
      <c r="GX100" s="25"/>
      <c r="GY100" s="25"/>
      <c r="GZ100" s="25"/>
      <c r="HA100" s="25"/>
      <c r="HB100" s="25"/>
      <c r="HC100" s="25"/>
      <c r="HD100" s="25"/>
      <c r="HE100" s="25"/>
      <c r="HF100" s="16"/>
      <c r="HG100" s="16"/>
      <c r="HH100" s="16"/>
      <c r="HI100" s="16"/>
      <c r="HJ100" s="16"/>
      <c r="HK100" s="16"/>
      <c r="HL100" s="16"/>
      <c r="HM100" s="51"/>
      <c r="HN100" s="51"/>
      <c r="HO100" s="51"/>
      <c r="HP100" s="51"/>
      <c r="HQ100" s="51"/>
      <c r="HR100" s="51"/>
      <c r="HS100"/>
      <c r="HT100"/>
      <c r="HU100"/>
      <c r="HV100"/>
    </row>
    <row r="101" spans="1:230" s="1" customForma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T101" s="32"/>
      <c r="U101" s="4"/>
      <c r="AN101" s="32"/>
      <c r="AO101" s="16"/>
      <c r="AP101" s="16"/>
      <c r="AQ101" s="16"/>
      <c r="AR101" s="32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32"/>
      <c r="BE101" s="16"/>
      <c r="BF101" s="16"/>
      <c r="BG101" s="16"/>
      <c r="BH101" s="32"/>
      <c r="BI101" s="32"/>
      <c r="BJ101" s="32"/>
      <c r="BK101" s="32"/>
      <c r="BL101" s="32"/>
      <c r="BM101" s="32"/>
      <c r="BN101" s="16"/>
      <c r="BO101" s="16"/>
      <c r="BP101" s="16"/>
      <c r="BQ101" s="16"/>
      <c r="BR101" s="16"/>
      <c r="BS101" s="16"/>
      <c r="BT101" s="16"/>
      <c r="BU101" s="16"/>
      <c r="BV101" s="56"/>
      <c r="BW101" s="16"/>
      <c r="BX101" s="16"/>
      <c r="BY101" s="16"/>
      <c r="BZ101" s="16"/>
      <c r="CA101" s="16"/>
      <c r="CB101" s="16"/>
      <c r="CC101" s="16"/>
      <c r="CD101" s="16"/>
      <c r="CE101" s="111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5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56"/>
      <c r="DZ101" s="56"/>
      <c r="EA101" s="56"/>
      <c r="EB101" s="56"/>
      <c r="EC101" s="56"/>
      <c r="ED101" s="56"/>
      <c r="EE101" s="56"/>
      <c r="EF101" s="56"/>
      <c r="EG101" s="56"/>
      <c r="EH101" s="56"/>
      <c r="EI101" s="56"/>
      <c r="EJ101" s="56"/>
      <c r="EK101" s="56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  <c r="EY101" s="12"/>
      <c r="EZ101" s="12"/>
      <c r="FA101" s="12"/>
      <c r="FB101" s="12"/>
      <c r="FC101" s="12"/>
      <c r="FD101" s="12"/>
      <c r="FE101" s="12"/>
      <c r="FF101" s="12"/>
      <c r="FG101" s="12"/>
      <c r="FH101" s="12"/>
      <c r="FI101" s="12"/>
      <c r="FJ101" s="12"/>
      <c r="FK101" s="12"/>
      <c r="FL101" s="12"/>
      <c r="FM101" s="12"/>
      <c r="FN101" s="12"/>
      <c r="FO101" s="12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  <c r="GJ101" s="25"/>
      <c r="GK101" s="25"/>
      <c r="GL101" s="25"/>
      <c r="GM101" s="25"/>
      <c r="GN101" s="25"/>
      <c r="GO101" s="25"/>
      <c r="GP101" s="25"/>
      <c r="GQ101" s="25"/>
      <c r="GR101" s="25"/>
      <c r="GS101" s="25"/>
      <c r="GT101" s="25"/>
      <c r="GU101" s="25"/>
      <c r="GV101" s="25"/>
      <c r="GW101" s="25"/>
      <c r="GX101" s="25"/>
      <c r="GY101" s="25"/>
      <c r="GZ101" s="25"/>
      <c r="HA101" s="25"/>
      <c r="HB101" s="25"/>
      <c r="HC101" s="25"/>
      <c r="HD101" s="25"/>
      <c r="HE101" s="25"/>
      <c r="HF101" s="16"/>
      <c r="HG101" s="16"/>
      <c r="HH101" s="16"/>
      <c r="HI101" s="16"/>
      <c r="HJ101" s="16"/>
      <c r="HK101" s="16"/>
      <c r="HL101" s="16"/>
      <c r="HM101" s="51"/>
      <c r="HN101" s="51"/>
      <c r="HO101" s="51"/>
      <c r="HP101" s="51"/>
      <c r="HQ101" s="51"/>
      <c r="HR101" s="51"/>
      <c r="HS101"/>
      <c r="HT101"/>
      <c r="HU101"/>
      <c r="HV101"/>
    </row>
    <row r="102" spans="1:230" s="1" customForma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T102" s="32"/>
      <c r="U102" s="4"/>
      <c r="AN102" s="32"/>
      <c r="AO102" s="16"/>
      <c r="AP102" s="16"/>
      <c r="AQ102" s="16"/>
      <c r="AR102" s="32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32"/>
      <c r="BE102" s="16"/>
      <c r="BF102" s="16"/>
      <c r="BG102" s="16"/>
      <c r="BH102" s="32"/>
      <c r="BI102" s="32"/>
      <c r="BJ102" s="32"/>
      <c r="BK102" s="32"/>
      <c r="BL102" s="32"/>
      <c r="BM102" s="32"/>
      <c r="BN102" s="16"/>
      <c r="BO102" s="16"/>
      <c r="BP102" s="16"/>
      <c r="BQ102" s="16"/>
      <c r="BR102" s="16"/>
      <c r="BS102" s="16"/>
      <c r="BT102" s="16"/>
      <c r="BU102" s="16"/>
      <c r="BV102" s="56"/>
      <c r="BW102" s="16"/>
      <c r="BX102" s="16"/>
      <c r="BY102" s="16"/>
      <c r="BZ102" s="16"/>
      <c r="CA102" s="16"/>
      <c r="CB102" s="16"/>
      <c r="CC102" s="16"/>
      <c r="CD102" s="16"/>
      <c r="CE102" s="111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5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56"/>
      <c r="DZ102" s="56"/>
      <c r="EA102" s="56"/>
      <c r="EB102" s="56"/>
      <c r="EC102" s="56"/>
      <c r="ED102" s="56"/>
      <c r="EE102" s="56"/>
      <c r="EF102" s="56"/>
      <c r="EG102" s="56"/>
      <c r="EH102" s="56"/>
      <c r="EI102" s="56"/>
      <c r="EJ102" s="56"/>
      <c r="EK102" s="56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2"/>
      <c r="FF102" s="12"/>
      <c r="FG102" s="12"/>
      <c r="FH102" s="12"/>
      <c r="FI102" s="12"/>
      <c r="FJ102" s="12"/>
      <c r="FK102" s="12"/>
      <c r="FL102" s="12"/>
      <c r="FM102" s="12"/>
      <c r="FN102" s="12"/>
      <c r="FO102" s="12"/>
      <c r="FP102" s="25"/>
      <c r="FQ102" s="25"/>
      <c r="FR102" s="25"/>
      <c r="FS102" s="25"/>
      <c r="FT102" s="25"/>
      <c r="FU102" s="25"/>
      <c r="FV102" s="25"/>
      <c r="FW102" s="25"/>
      <c r="FX102" s="25"/>
      <c r="FY102" s="25"/>
      <c r="FZ102" s="25"/>
      <c r="GA102" s="25"/>
      <c r="GB102" s="25"/>
      <c r="GC102" s="25"/>
      <c r="GD102" s="25"/>
      <c r="GE102" s="25"/>
      <c r="GF102" s="25"/>
      <c r="GG102" s="25"/>
      <c r="GH102" s="25"/>
      <c r="GI102" s="25"/>
      <c r="GJ102" s="25"/>
      <c r="GK102" s="25"/>
      <c r="GL102" s="25"/>
      <c r="GM102" s="25"/>
      <c r="GN102" s="25"/>
      <c r="GO102" s="25"/>
      <c r="GP102" s="25"/>
      <c r="GQ102" s="25"/>
      <c r="GR102" s="25"/>
      <c r="GS102" s="25"/>
      <c r="GT102" s="25"/>
      <c r="GU102" s="25"/>
      <c r="GV102" s="25"/>
      <c r="GW102" s="25"/>
      <c r="GX102" s="25"/>
      <c r="GY102" s="25"/>
      <c r="GZ102" s="25"/>
      <c r="HA102" s="25"/>
      <c r="HB102" s="25"/>
      <c r="HC102" s="25"/>
      <c r="HD102" s="25"/>
      <c r="HE102" s="25"/>
      <c r="HF102" s="16"/>
      <c r="HG102" s="16"/>
      <c r="HH102" s="16"/>
      <c r="HI102" s="16"/>
      <c r="HJ102" s="16"/>
      <c r="HK102" s="16"/>
      <c r="HL102" s="16"/>
      <c r="HM102" s="51"/>
      <c r="HN102" s="51"/>
      <c r="HO102" s="51"/>
      <c r="HP102" s="51"/>
      <c r="HQ102" s="51"/>
      <c r="HR102" s="51"/>
      <c r="HS102"/>
      <c r="HT102"/>
      <c r="HU102"/>
      <c r="HV102"/>
    </row>
    <row r="103" spans="1:230" s="1" customForma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T103" s="32"/>
      <c r="U103" s="4"/>
      <c r="AN103" s="32"/>
      <c r="AO103" s="16"/>
      <c r="AP103" s="16"/>
      <c r="AQ103" s="16"/>
      <c r="AR103" s="32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32"/>
      <c r="BE103" s="16"/>
      <c r="BF103" s="16"/>
      <c r="BG103" s="16"/>
      <c r="BH103" s="32"/>
      <c r="BI103" s="32"/>
      <c r="BJ103" s="32"/>
      <c r="BK103" s="32"/>
      <c r="BL103" s="32"/>
      <c r="BM103" s="32"/>
      <c r="BN103" s="16"/>
      <c r="BO103" s="16"/>
      <c r="BP103" s="16"/>
      <c r="BQ103" s="16"/>
      <c r="BR103" s="16"/>
      <c r="BS103" s="16"/>
      <c r="BT103" s="16"/>
      <c r="BU103" s="16"/>
      <c r="BV103" s="56"/>
      <c r="BW103" s="16"/>
      <c r="BX103" s="16"/>
      <c r="BY103" s="16"/>
      <c r="BZ103" s="16"/>
      <c r="CA103" s="16"/>
      <c r="CB103" s="16"/>
      <c r="CC103" s="16"/>
      <c r="CD103" s="16"/>
      <c r="CE103" s="111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5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56"/>
      <c r="DZ103" s="56"/>
      <c r="EA103" s="56"/>
      <c r="EB103" s="56"/>
      <c r="EC103" s="56"/>
      <c r="ED103" s="56"/>
      <c r="EE103" s="56"/>
      <c r="EF103" s="56"/>
      <c r="EG103" s="56"/>
      <c r="EH103" s="56"/>
      <c r="EI103" s="56"/>
      <c r="EJ103" s="56"/>
      <c r="EK103" s="56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  <c r="FG103" s="12"/>
      <c r="FH103" s="12"/>
      <c r="FI103" s="12"/>
      <c r="FJ103" s="12"/>
      <c r="FK103" s="12"/>
      <c r="FL103" s="12"/>
      <c r="FM103" s="12"/>
      <c r="FN103" s="12"/>
      <c r="FO103" s="12"/>
      <c r="FP103" s="25"/>
      <c r="FQ103" s="25"/>
      <c r="FR103" s="25"/>
      <c r="FS103" s="25"/>
      <c r="FT103" s="25"/>
      <c r="FU103" s="25"/>
      <c r="FV103" s="25"/>
      <c r="FW103" s="25"/>
      <c r="FX103" s="25"/>
      <c r="FY103" s="25"/>
      <c r="FZ103" s="25"/>
      <c r="GA103" s="25"/>
      <c r="GB103" s="25"/>
      <c r="GC103" s="25"/>
      <c r="GD103" s="25"/>
      <c r="GE103" s="25"/>
      <c r="GF103" s="25"/>
      <c r="GG103" s="25"/>
      <c r="GH103" s="25"/>
      <c r="GI103" s="25"/>
      <c r="GJ103" s="25"/>
      <c r="GK103" s="25"/>
      <c r="GL103" s="25"/>
      <c r="GM103" s="25"/>
      <c r="GN103" s="25"/>
      <c r="GO103" s="25"/>
      <c r="GP103" s="25"/>
      <c r="GQ103" s="25"/>
      <c r="GR103" s="25"/>
      <c r="GS103" s="25"/>
      <c r="GT103" s="25"/>
      <c r="GU103" s="25"/>
      <c r="GV103" s="25"/>
      <c r="GW103" s="25"/>
      <c r="GX103" s="25"/>
      <c r="GY103" s="25"/>
      <c r="GZ103" s="25"/>
      <c r="HA103" s="25"/>
      <c r="HB103" s="25"/>
      <c r="HC103" s="25"/>
      <c r="HD103" s="25"/>
      <c r="HE103" s="25"/>
      <c r="HF103" s="16"/>
      <c r="HG103" s="16"/>
      <c r="HH103" s="16"/>
      <c r="HI103" s="16"/>
      <c r="HJ103" s="16"/>
      <c r="HK103" s="16"/>
      <c r="HL103" s="16"/>
      <c r="HM103" s="51"/>
      <c r="HN103" s="51"/>
      <c r="HO103" s="51"/>
      <c r="HP103" s="51"/>
      <c r="HQ103" s="51"/>
      <c r="HR103" s="51"/>
      <c r="HS103"/>
      <c r="HT103"/>
      <c r="HU103"/>
      <c r="HV103"/>
    </row>
    <row r="104" spans="1:230" s="1" customForma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T104" s="32"/>
      <c r="U104" s="4"/>
      <c r="AN104" s="32"/>
      <c r="AO104" s="16"/>
      <c r="AP104" s="16"/>
      <c r="AQ104" s="16"/>
      <c r="AR104" s="32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32"/>
      <c r="BE104" s="16"/>
      <c r="BF104" s="16"/>
      <c r="BG104" s="16"/>
      <c r="BH104" s="32"/>
      <c r="BI104" s="32"/>
      <c r="BJ104" s="32"/>
      <c r="BK104" s="32"/>
      <c r="BL104" s="32"/>
      <c r="BM104" s="32"/>
      <c r="BN104" s="16"/>
      <c r="BO104" s="16"/>
      <c r="BP104" s="16"/>
      <c r="BQ104" s="16"/>
      <c r="BR104" s="16"/>
      <c r="BS104" s="16"/>
      <c r="BT104" s="16"/>
      <c r="BU104" s="16"/>
      <c r="BV104" s="56"/>
      <c r="BW104" s="16"/>
      <c r="BX104" s="16"/>
      <c r="BY104" s="16"/>
      <c r="BZ104" s="16"/>
      <c r="CA104" s="16"/>
      <c r="CB104" s="16"/>
      <c r="CC104" s="16"/>
      <c r="CD104" s="16"/>
      <c r="CE104" s="111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5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56"/>
      <c r="DZ104" s="56"/>
      <c r="EA104" s="56"/>
      <c r="EB104" s="56"/>
      <c r="EC104" s="56"/>
      <c r="ED104" s="56"/>
      <c r="EE104" s="56"/>
      <c r="EF104" s="56"/>
      <c r="EG104" s="56"/>
      <c r="EH104" s="56"/>
      <c r="EI104" s="56"/>
      <c r="EJ104" s="56"/>
      <c r="EK104" s="56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  <c r="EY104" s="12"/>
      <c r="EZ104" s="12"/>
      <c r="FA104" s="12"/>
      <c r="FB104" s="12"/>
      <c r="FC104" s="12"/>
      <c r="FD104" s="12"/>
      <c r="FE104" s="12"/>
      <c r="FF104" s="12"/>
      <c r="FG104" s="12"/>
      <c r="FH104" s="12"/>
      <c r="FI104" s="12"/>
      <c r="FJ104" s="12"/>
      <c r="FK104" s="12"/>
      <c r="FL104" s="12"/>
      <c r="FM104" s="12"/>
      <c r="FN104" s="12"/>
      <c r="FO104" s="12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25"/>
      <c r="GH104" s="25"/>
      <c r="GI104" s="25"/>
      <c r="GJ104" s="25"/>
      <c r="GK104" s="25"/>
      <c r="GL104" s="25"/>
      <c r="GM104" s="25"/>
      <c r="GN104" s="25"/>
      <c r="GO104" s="25"/>
      <c r="GP104" s="25"/>
      <c r="GQ104" s="25"/>
      <c r="GR104" s="25"/>
      <c r="GS104" s="25"/>
      <c r="GT104" s="25"/>
      <c r="GU104" s="25"/>
      <c r="GV104" s="25"/>
      <c r="GW104" s="25"/>
      <c r="GX104" s="25"/>
      <c r="GY104" s="25"/>
      <c r="GZ104" s="25"/>
      <c r="HA104" s="25"/>
      <c r="HB104" s="25"/>
      <c r="HC104" s="25"/>
      <c r="HD104" s="25"/>
      <c r="HE104" s="25"/>
      <c r="HF104" s="16"/>
      <c r="HG104" s="16"/>
      <c r="HH104" s="16"/>
      <c r="HI104" s="16"/>
      <c r="HJ104" s="16"/>
      <c r="HK104" s="16"/>
      <c r="HL104" s="16"/>
      <c r="HM104" s="51"/>
      <c r="HN104" s="51"/>
      <c r="HO104" s="51"/>
      <c r="HP104" s="51"/>
      <c r="HQ104" s="51"/>
      <c r="HR104" s="51"/>
      <c r="HS104"/>
      <c r="HT104"/>
      <c r="HU104"/>
      <c r="HV104"/>
    </row>
    <row r="105" spans="1:230" s="1" customForma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T105" s="32"/>
      <c r="U105" s="4"/>
      <c r="AN105" s="32"/>
      <c r="AO105" s="16"/>
      <c r="AP105" s="16"/>
      <c r="AQ105" s="16"/>
      <c r="AR105" s="32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32"/>
      <c r="BE105" s="16"/>
      <c r="BF105" s="16"/>
      <c r="BG105" s="16"/>
      <c r="BH105" s="32"/>
      <c r="BI105" s="32"/>
      <c r="BJ105" s="32"/>
      <c r="BK105" s="32"/>
      <c r="BL105" s="32"/>
      <c r="BM105" s="32"/>
      <c r="BN105" s="16"/>
      <c r="BO105" s="16"/>
      <c r="BP105" s="16"/>
      <c r="BQ105" s="16"/>
      <c r="BR105" s="16"/>
      <c r="BS105" s="16"/>
      <c r="BT105" s="16"/>
      <c r="BU105" s="16"/>
      <c r="BV105" s="56"/>
      <c r="BW105" s="16"/>
      <c r="BX105" s="16"/>
      <c r="BY105" s="16"/>
      <c r="BZ105" s="16"/>
      <c r="CA105" s="16"/>
      <c r="CB105" s="16"/>
      <c r="CC105" s="16"/>
      <c r="CD105" s="16"/>
      <c r="CE105" s="111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5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56"/>
      <c r="DZ105" s="56"/>
      <c r="EA105" s="56"/>
      <c r="EB105" s="56"/>
      <c r="EC105" s="56"/>
      <c r="ED105" s="56"/>
      <c r="EE105" s="56"/>
      <c r="EF105" s="56"/>
      <c r="EG105" s="56"/>
      <c r="EH105" s="56"/>
      <c r="EI105" s="56"/>
      <c r="EJ105" s="56"/>
      <c r="EK105" s="56"/>
      <c r="EL105" s="12"/>
      <c r="EM105" s="12"/>
      <c r="EN105" s="12"/>
      <c r="EO105" s="12"/>
      <c r="EP105" s="12"/>
      <c r="EQ105" s="12"/>
      <c r="ER105" s="12"/>
      <c r="ES105" s="12"/>
      <c r="ET105" s="12"/>
      <c r="EU105" s="12"/>
      <c r="EV105" s="12"/>
      <c r="EW105" s="12"/>
      <c r="EX105" s="12"/>
      <c r="EY105" s="12"/>
      <c r="EZ105" s="12"/>
      <c r="FA105" s="12"/>
      <c r="FB105" s="12"/>
      <c r="FC105" s="12"/>
      <c r="FD105" s="12"/>
      <c r="FE105" s="12"/>
      <c r="FF105" s="12"/>
      <c r="FG105" s="12"/>
      <c r="FH105" s="12"/>
      <c r="FI105" s="12"/>
      <c r="FJ105" s="12"/>
      <c r="FK105" s="12"/>
      <c r="FL105" s="12"/>
      <c r="FM105" s="12"/>
      <c r="FN105" s="12"/>
      <c r="FO105" s="12"/>
      <c r="FP105" s="25"/>
      <c r="FQ105" s="25"/>
      <c r="FR105" s="25"/>
      <c r="FS105" s="25"/>
      <c r="FT105" s="25"/>
      <c r="FU105" s="25"/>
      <c r="FV105" s="25"/>
      <c r="FW105" s="25"/>
      <c r="FX105" s="25"/>
      <c r="FY105" s="25"/>
      <c r="FZ105" s="25"/>
      <c r="GA105" s="25"/>
      <c r="GB105" s="25"/>
      <c r="GC105" s="25"/>
      <c r="GD105" s="25"/>
      <c r="GE105" s="25"/>
      <c r="GF105" s="25"/>
      <c r="GG105" s="25"/>
      <c r="GH105" s="25"/>
      <c r="GI105" s="25"/>
      <c r="GJ105" s="25"/>
      <c r="GK105" s="25"/>
      <c r="GL105" s="25"/>
      <c r="GM105" s="25"/>
      <c r="GN105" s="25"/>
      <c r="GO105" s="25"/>
      <c r="GP105" s="25"/>
      <c r="GQ105" s="25"/>
      <c r="GR105" s="25"/>
      <c r="GS105" s="25"/>
      <c r="GT105" s="25"/>
      <c r="GU105" s="25"/>
      <c r="GV105" s="25"/>
      <c r="GW105" s="25"/>
      <c r="GX105" s="25"/>
      <c r="GY105" s="25"/>
      <c r="GZ105" s="25"/>
      <c r="HA105" s="25"/>
      <c r="HB105" s="25"/>
      <c r="HC105" s="25"/>
      <c r="HD105" s="25"/>
      <c r="HE105" s="25"/>
      <c r="HF105" s="16"/>
      <c r="HG105" s="16"/>
      <c r="HH105" s="16"/>
      <c r="HI105" s="16"/>
      <c r="HJ105" s="16"/>
      <c r="HK105" s="16"/>
      <c r="HL105" s="16"/>
      <c r="HM105" s="51"/>
      <c r="HN105" s="51"/>
      <c r="HO105" s="51"/>
      <c r="HP105" s="51"/>
      <c r="HQ105" s="51"/>
      <c r="HR105" s="51"/>
      <c r="HS105"/>
      <c r="HT105"/>
      <c r="HU105"/>
      <c r="HV105"/>
    </row>
    <row r="106" spans="1:230" s="1" customForma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T106" s="32"/>
      <c r="U106" s="4"/>
      <c r="AN106" s="32"/>
      <c r="AO106" s="16"/>
      <c r="AP106" s="16"/>
      <c r="AQ106" s="16"/>
      <c r="AR106" s="32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32"/>
      <c r="BE106" s="16"/>
      <c r="BF106" s="16"/>
      <c r="BG106" s="16"/>
      <c r="BH106" s="32"/>
      <c r="BI106" s="32"/>
      <c r="BJ106" s="32"/>
      <c r="BK106" s="32"/>
      <c r="BL106" s="32"/>
      <c r="BM106" s="32"/>
      <c r="BN106" s="16"/>
      <c r="BO106" s="16"/>
      <c r="BP106" s="16"/>
      <c r="BQ106" s="16"/>
      <c r="BR106" s="16"/>
      <c r="BS106" s="16"/>
      <c r="BT106" s="16"/>
      <c r="BU106" s="16"/>
      <c r="BV106" s="56"/>
      <c r="BW106" s="16"/>
      <c r="BX106" s="16"/>
      <c r="BY106" s="16"/>
      <c r="BZ106" s="16"/>
      <c r="CA106" s="16"/>
      <c r="CB106" s="16"/>
      <c r="CC106" s="16"/>
      <c r="CD106" s="16"/>
      <c r="CE106" s="111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5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56"/>
      <c r="DZ106" s="56"/>
      <c r="EA106" s="56"/>
      <c r="EB106" s="56"/>
      <c r="EC106" s="56"/>
      <c r="ED106" s="56"/>
      <c r="EE106" s="56"/>
      <c r="EF106" s="56"/>
      <c r="EG106" s="56"/>
      <c r="EH106" s="56"/>
      <c r="EI106" s="56"/>
      <c r="EJ106" s="56"/>
      <c r="EK106" s="56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  <c r="EY106" s="12"/>
      <c r="EZ106" s="12"/>
      <c r="FA106" s="12"/>
      <c r="FB106" s="12"/>
      <c r="FC106" s="12"/>
      <c r="FD106" s="12"/>
      <c r="FE106" s="12"/>
      <c r="FF106" s="12"/>
      <c r="FG106" s="12"/>
      <c r="FH106" s="12"/>
      <c r="FI106" s="12"/>
      <c r="FJ106" s="12"/>
      <c r="FK106" s="12"/>
      <c r="FL106" s="12"/>
      <c r="FM106" s="12"/>
      <c r="FN106" s="12"/>
      <c r="FO106" s="12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  <c r="GR106" s="25"/>
      <c r="GS106" s="25"/>
      <c r="GT106" s="25"/>
      <c r="GU106" s="25"/>
      <c r="GV106" s="25"/>
      <c r="GW106" s="25"/>
      <c r="GX106" s="25"/>
      <c r="GY106" s="25"/>
      <c r="GZ106" s="25"/>
      <c r="HA106" s="25"/>
      <c r="HB106" s="25"/>
      <c r="HC106" s="25"/>
      <c r="HD106" s="25"/>
      <c r="HE106" s="25"/>
      <c r="HF106" s="16"/>
      <c r="HG106" s="16"/>
      <c r="HH106" s="16"/>
      <c r="HI106" s="16"/>
      <c r="HJ106" s="16"/>
      <c r="HK106" s="16"/>
      <c r="HL106" s="16"/>
      <c r="HM106" s="51"/>
      <c r="HN106" s="51"/>
      <c r="HO106" s="51"/>
      <c r="HP106" s="51"/>
      <c r="HQ106" s="51"/>
      <c r="HR106" s="51"/>
      <c r="HS106"/>
      <c r="HT106"/>
      <c r="HU106"/>
      <c r="HV106"/>
    </row>
    <row r="107" spans="1:230" s="1" customForma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T107" s="32"/>
      <c r="U107" s="4"/>
      <c r="AN107" s="32"/>
      <c r="AO107" s="16"/>
      <c r="AP107" s="16"/>
      <c r="AQ107" s="16"/>
      <c r="AR107" s="32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32"/>
      <c r="BE107" s="16"/>
      <c r="BF107" s="16"/>
      <c r="BG107" s="16"/>
      <c r="BH107" s="32"/>
      <c r="BI107" s="32"/>
      <c r="BJ107" s="32"/>
      <c r="BK107" s="32"/>
      <c r="BL107" s="32"/>
      <c r="BM107" s="32"/>
      <c r="BN107" s="16"/>
      <c r="BO107" s="16"/>
      <c r="BP107" s="16"/>
      <c r="BQ107" s="16"/>
      <c r="BR107" s="16"/>
      <c r="BS107" s="16"/>
      <c r="BT107" s="16"/>
      <c r="BU107" s="16"/>
      <c r="BV107" s="56"/>
      <c r="BW107" s="16"/>
      <c r="BX107" s="16"/>
      <c r="BY107" s="16"/>
      <c r="BZ107" s="16"/>
      <c r="CA107" s="16"/>
      <c r="CB107" s="16"/>
      <c r="CC107" s="16"/>
      <c r="CD107" s="16"/>
      <c r="CE107" s="111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5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56"/>
      <c r="DZ107" s="56"/>
      <c r="EA107" s="56"/>
      <c r="EB107" s="56"/>
      <c r="EC107" s="56"/>
      <c r="ED107" s="56"/>
      <c r="EE107" s="56"/>
      <c r="EF107" s="56"/>
      <c r="EG107" s="56"/>
      <c r="EH107" s="56"/>
      <c r="EI107" s="56"/>
      <c r="EJ107" s="56"/>
      <c r="EK107" s="56"/>
      <c r="EL107" s="12"/>
      <c r="EM107" s="12"/>
      <c r="EN107" s="12"/>
      <c r="EO107" s="12"/>
      <c r="EP107" s="12"/>
      <c r="EQ107" s="12"/>
      <c r="ER107" s="12"/>
      <c r="ES107" s="12"/>
      <c r="ET107" s="12"/>
      <c r="EU107" s="12"/>
      <c r="EV107" s="12"/>
      <c r="EW107" s="12"/>
      <c r="EX107" s="12"/>
      <c r="EY107" s="12"/>
      <c r="EZ107" s="12"/>
      <c r="FA107" s="12"/>
      <c r="FB107" s="12"/>
      <c r="FC107" s="12"/>
      <c r="FD107" s="12"/>
      <c r="FE107" s="12"/>
      <c r="FF107" s="12"/>
      <c r="FG107" s="12"/>
      <c r="FH107" s="12"/>
      <c r="FI107" s="12"/>
      <c r="FJ107" s="12"/>
      <c r="FK107" s="12"/>
      <c r="FL107" s="12"/>
      <c r="FM107" s="12"/>
      <c r="FN107" s="12"/>
      <c r="FO107" s="12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  <c r="GJ107" s="25"/>
      <c r="GK107" s="25"/>
      <c r="GL107" s="25"/>
      <c r="GM107" s="25"/>
      <c r="GN107" s="25"/>
      <c r="GO107" s="25"/>
      <c r="GP107" s="25"/>
      <c r="GQ107" s="25"/>
      <c r="GR107" s="25"/>
      <c r="GS107" s="25"/>
      <c r="GT107" s="25"/>
      <c r="GU107" s="25"/>
      <c r="GV107" s="25"/>
      <c r="GW107" s="25"/>
      <c r="GX107" s="25"/>
      <c r="GY107" s="25"/>
      <c r="GZ107" s="25"/>
      <c r="HA107" s="25"/>
      <c r="HB107" s="25"/>
      <c r="HC107" s="25"/>
      <c r="HD107" s="25"/>
      <c r="HE107" s="25"/>
      <c r="HF107" s="16"/>
      <c r="HG107" s="16"/>
      <c r="HH107" s="16"/>
      <c r="HI107" s="16"/>
      <c r="HJ107" s="16"/>
      <c r="HK107" s="16"/>
      <c r="HL107" s="16"/>
      <c r="HM107" s="51"/>
      <c r="HN107" s="51"/>
      <c r="HO107" s="51"/>
      <c r="HP107" s="51"/>
      <c r="HQ107" s="51"/>
      <c r="HR107" s="51"/>
      <c r="HS107"/>
      <c r="HT107"/>
      <c r="HU107"/>
      <c r="HV107"/>
    </row>
    <row r="108" spans="1:230" s="1" customForma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T108" s="32"/>
      <c r="U108" s="4"/>
      <c r="AN108" s="32"/>
      <c r="AO108" s="16"/>
      <c r="AP108" s="16"/>
      <c r="AQ108" s="16"/>
      <c r="AR108" s="32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32"/>
      <c r="BE108" s="16"/>
      <c r="BF108" s="16"/>
      <c r="BG108" s="16"/>
      <c r="BH108" s="32"/>
      <c r="BI108" s="32"/>
      <c r="BJ108" s="32"/>
      <c r="BK108" s="32"/>
      <c r="BL108" s="32"/>
      <c r="BM108" s="32"/>
      <c r="BN108" s="16"/>
      <c r="BO108" s="16"/>
      <c r="BP108" s="16"/>
      <c r="BQ108" s="16"/>
      <c r="BR108" s="16"/>
      <c r="BS108" s="16"/>
      <c r="BT108" s="16"/>
      <c r="BU108" s="16"/>
      <c r="BV108" s="56"/>
      <c r="BW108" s="16"/>
      <c r="BX108" s="16"/>
      <c r="BY108" s="16"/>
      <c r="BZ108" s="16"/>
      <c r="CA108" s="16"/>
      <c r="CB108" s="16"/>
      <c r="CC108" s="16"/>
      <c r="CD108" s="16"/>
      <c r="CE108" s="111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5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56"/>
      <c r="DZ108" s="56"/>
      <c r="EA108" s="56"/>
      <c r="EB108" s="56"/>
      <c r="EC108" s="56"/>
      <c r="ED108" s="56"/>
      <c r="EE108" s="56"/>
      <c r="EF108" s="56"/>
      <c r="EG108" s="56"/>
      <c r="EH108" s="56"/>
      <c r="EI108" s="56"/>
      <c r="EJ108" s="56"/>
      <c r="EK108" s="56"/>
      <c r="EL108" s="12"/>
      <c r="EM108" s="12"/>
      <c r="EN108" s="12"/>
      <c r="EO108" s="12"/>
      <c r="EP108" s="12"/>
      <c r="EQ108" s="12"/>
      <c r="ER108" s="12"/>
      <c r="ES108" s="12"/>
      <c r="ET108" s="12"/>
      <c r="EU108" s="12"/>
      <c r="EV108" s="12"/>
      <c r="EW108" s="12"/>
      <c r="EX108" s="12"/>
      <c r="EY108" s="12"/>
      <c r="EZ108" s="12"/>
      <c r="FA108" s="12"/>
      <c r="FB108" s="12"/>
      <c r="FC108" s="12"/>
      <c r="FD108" s="12"/>
      <c r="FE108" s="12"/>
      <c r="FF108" s="12"/>
      <c r="FG108" s="12"/>
      <c r="FH108" s="12"/>
      <c r="FI108" s="12"/>
      <c r="FJ108" s="12"/>
      <c r="FK108" s="12"/>
      <c r="FL108" s="12"/>
      <c r="FM108" s="12"/>
      <c r="FN108" s="12"/>
      <c r="FO108" s="12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  <c r="GI108" s="25"/>
      <c r="GJ108" s="25"/>
      <c r="GK108" s="25"/>
      <c r="GL108" s="25"/>
      <c r="GM108" s="25"/>
      <c r="GN108" s="25"/>
      <c r="GO108" s="25"/>
      <c r="GP108" s="25"/>
      <c r="GQ108" s="25"/>
      <c r="GR108" s="25"/>
      <c r="GS108" s="25"/>
      <c r="GT108" s="25"/>
      <c r="GU108" s="25"/>
      <c r="GV108" s="25"/>
      <c r="GW108" s="25"/>
      <c r="GX108" s="25"/>
      <c r="GY108" s="25"/>
      <c r="GZ108" s="25"/>
      <c r="HA108" s="25"/>
      <c r="HB108" s="25"/>
      <c r="HC108" s="25"/>
      <c r="HD108" s="25"/>
      <c r="HE108" s="25"/>
      <c r="HF108" s="16"/>
      <c r="HG108" s="16"/>
      <c r="HH108" s="16"/>
      <c r="HI108" s="16"/>
      <c r="HJ108" s="16"/>
      <c r="HK108" s="16"/>
      <c r="HL108" s="16"/>
      <c r="HM108" s="51"/>
      <c r="HN108" s="51"/>
      <c r="HO108" s="51"/>
      <c r="HP108" s="51"/>
      <c r="HQ108" s="51"/>
      <c r="HR108" s="51"/>
      <c r="HS108"/>
      <c r="HT108"/>
      <c r="HU108"/>
      <c r="HV108"/>
    </row>
    <row r="109" spans="1:230" s="1" customForma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T109" s="32"/>
      <c r="U109" s="4"/>
      <c r="AN109" s="32"/>
      <c r="AO109" s="16"/>
      <c r="AP109" s="16"/>
      <c r="AQ109" s="16"/>
      <c r="AR109" s="32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32"/>
      <c r="BE109" s="16"/>
      <c r="BF109" s="16"/>
      <c r="BG109" s="16"/>
      <c r="BH109" s="32"/>
      <c r="BI109" s="32"/>
      <c r="BJ109" s="32"/>
      <c r="BK109" s="32"/>
      <c r="BL109" s="32"/>
      <c r="BM109" s="32"/>
      <c r="BN109" s="16"/>
      <c r="BO109" s="16"/>
      <c r="BP109" s="16"/>
      <c r="BQ109" s="16"/>
      <c r="BR109" s="16"/>
      <c r="BS109" s="16"/>
      <c r="BT109" s="16"/>
      <c r="BU109" s="16"/>
      <c r="BV109" s="56"/>
      <c r="BW109" s="16"/>
      <c r="BX109" s="16"/>
      <c r="BY109" s="16"/>
      <c r="BZ109" s="16"/>
      <c r="CA109" s="16"/>
      <c r="CB109" s="16"/>
      <c r="CC109" s="16"/>
      <c r="CD109" s="16"/>
      <c r="CE109" s="111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5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56"/>
      <c r="DZ109" s="56"/>
      <c r="EA109" s="56"/>
      <c r="EB109" s="56"/>
      <c r="EC109" s="56"/>
      <c r="ED109" s="56"/>
      <c r="EE109" s="56"/>
      <c r="EF109" s="56"/>
      <c r="EG109" s="56"/>
      <c r="EH109" s="56"/>
      <c r="EI109" s="56"/>
      <c r="EJ109" s="56"/>
      <c r="EK109" s="56"/>
      <c r="EL109" s="12"/>
      <c r="EM109" s="12"/>
      <c r="EN109" s="12"/>
      <c r="EO109" s="12"/>
      <c r="EP109" s="12"/>
      <c r="EQ109" s="12"/>
      <c r="ER109" s="12"/>
      <c r="ES109" s="12"/>
      <c r="ET109" s="12"/>
      <c r="EU109" s="12"/>
      <c r="EV109" s="12"/>
      <c r="EW109" s="12"/>
      <c r="EX109" s="12"/>
      <c r="EY109" s="12"/>
      <c r="EZ109" s="12"/>
      <c r="FA109" s="12"/>
      <c r="FB109" s="12"/>
      <c r="FC109" s="12"/>
      <c r="FD109" s="12"/>
      <c r="FE109" s="12"/>
      <c r="FF109" s="12"/>
      <c r="FG109" s="12"/>
      <c r="FH109" s="12"/>
      <c r="FI109" s="12"/>
      <c r="FJ109" s="12"/>
      <c r="FK109" s="12"/>
      <c r="FL109" s="12"/>
      <c r="FM109" s="12"/>
      <c r="FN109" s="12"/>
      <c r="FO109" s="12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  <c r="GI109" s="25"/>
      <c r="GJ109" s="25"/>
      <c r="GK109" s="25"/>
      <c r="GL109" s="25"/>
      <c r="GM109" s="25"/>
      <c r="GN109" s="25"/>
      <c r="GO109" s="25"/>
      <c r="GP109" s="25"/>
      <c r="GQ109" s="25"/>
      <c r="GR109" s="25"/>
      <c r="GS109" s="25"/>
      <c r="GT109" s="25"/>
      <c r="GU109" s="25"/>
      <c r="GV109" s="25"/>
      <c r="GW109" s="25"/>
      <c r="GX109" s="25"/>
      <c r="GY109" s="25"/>
      <c r="GZ109" s="25"/>
      <c r="HA109" s="25"/>
      <c r="HB109" s="25"/>
      <c r="HC109" s="25"/>
      <c r="HD109" s="25"/>
      <c r="HE109" s="25"/>
      <c r="HF109" s="16"/>
      <c r="HG109" s="16"/>
      <c r="HH109" s="16"/>
      <c r="HI109" s="16"/>
      <c r="HJ109" s="16"/>
      <c r="HK109" s="16"/>
      <c r="HL109" s="16"/>
      <c r="HM109" s="51"/>
      <c r="HN109" s="51"/>
      <c r="HO109" s="51"/>
      <c r="HP109" s="51"/>
      <c r="HQ109" s="51"/>
      <c r="HR109" s="51"/>
      <c r="HS109"/>
      <c r="HT109"/>
      <c r="HU109"/>
      <c r="HV109"/>
    </row>
    <row r="110" spans="1:230" s="1" customForma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T110" s="32"/>
      <c r="U110" s="4"/>
      <c r="AN110" s="32"/>
      <c r="AO110" s="16"/>
      <c r="AP110" s="16"/>
      <c r="AQ110" s="16"/>
      <c r="AR110" s="32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32"/>
      <c r="BE110" s="16"/>
      <c r="BF110" s="16"/>
      <c r="BG110" s="16"/>
      <c r="BH110" s="32"/>
      <c r="BI110" s="32"/>
      <c r="BJ110" s="32"/>
      <c r="BK110" s="32"/>
      <c r="BL110" s="32"/>
      <c r="BM110" s="32"/>
      <c r="BN110" s="16"/>
      <c r="BO110" s="16"/>
      <c r="BP110" s="16"/>
      <c r="BQ110" s="16"/>
      <c r="BR110" s="16"/>
      <c r="BS110" s="16"/>
      <c r="BT110" s="16"/>
      <c r="BU110" s="16"/>
      <c r="BV110" s="56"/>
      <c r="BW110" s="16"/>
      <c r="BX110" s="16"/>
      <c r="BY110" s="16"/>
      <c r="BZ110" s="16"/>
      <c r="CA110" s="16"/>
      <c r="CB110" s="16"/>
      <c r="CC110" s="16"/>
      <c r="CD110" s="16"/>
      <c r="CE110" s="111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5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56"/>
      <c r="DZ110" s="56"/>
      <c r="EA110" s="56"/>
      <c r="EB110" s="56"/>
      <c r="EC110" s="56"/>
      <c r="ED110" s="56"/>
      <c r="EE110" s="56"/>
      <c r="EF110" s="56"/>
      <c r="EG110" s="56"/>
      <c r="EH110" s="56"/>
      <c r="EI110" s="56"/>
      <c r="EJ110" s="56"/>
      <c r="EK110" s="56"/>
      <c r="EL110" s="12"/>
      <c r="EM110" s="12"/>
      <c r="EN110" s="12"/>
      <c r="EO110" s="12"/>
      <c r="EP110" s="12"/>
      <c r="EQ110" s="12"/>
      <c r="ER110" s="12"/>
      <c r="ES110" s="12"/>
      <c r="ET110" s="12"/>
      <c r="EU110" s="12"/>
      <c r="EV110" s="12"/>
      <c r="EW110" s="12"/>
      <c r="EX110" s="12"/>
      <c r="EY110" s="12"/>
      <c r="EZ110" s="12"/>
      <c r="FA110" s="12"/>
      <c r="FB110" s="12"/>
      <c r="FC110" s="12"/>
      <c r="FD110" s="12"/>
      <c r="FE110" s="12"/>
      <c r="FF110" s="12"/>
      <c r="FG110" s="12"/>
      <c r="FH110" s="12"/>
      <c r="FI110" s="12"/>
      <c r="FJ110" s="12"/>
      <c r="FK110" s="12"/>
      <c r="FL110" s="12"/>
      <c r="FM110" s="12"/>
      <c r="FN110" s="12"/>
      <c r="FO110" s="12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25"/>
      <c r="GB110" s="25"/>
      <c r="GC110" s="25"/>
      <c r="GD110" s="25"/>
      <c r="GE110" s="25"/>
      <c r="GF110" s="25"/>
      <c r="GG110" s="25"/>
      <c r="GH110" s="25"/>
      <c r="GI110" s="25"/>
      <c r="GJ110" s="25"/>
      <c r="GK110" s="25"/>
      <c r="GL110" s="25"/>
      <c r="GM110" s="25"/>
      <c r="GN110" s="25"/>
      <c r="GO110" s="25"/>
      <c r="GP110" s="25"/>
      <c r="GQ110" s="25"/>
      <c r="GR110" s="25"/>
      <c r="GS110" s="25"/>
      <c r="GT110" s="25"/>
      <c r="GU110" s="25"/>
      <c r="GV110" s="25"/>
      <c r="GW110" s="25"/>
      <c r="GX110" s="25"/>
      <c r="GY110" s="25"/>
      <c r="GZ110" s="25"/>
      <c r="HA110" s="25"/>
      <c r="HB110" s="25"/>
      <c r="HC110" s="25"/>
      <c r="HD110" s="25"/>
      <c r="HE110" s="25"/>
      <c r="HF110" s="16"/>
      <c r="HG110" s="16"/>
      <c r="HH110" s="16"/>
      <c r="HI110" s="16"/>
      <c r="HJ110" s="16"/>
      <c r="HK110" s="16"/>
      <c r="HL110" s="16"/>
      <c r="HM110" s="51"/>
      <c r="HN110" s="51"/>
      <c r="HO110" s="51"/>
      <c r="HP110" s="51"/>
      <c r="HQ110" s="51"/>
      <c r="HR110" s="51"/>
      <c r="HS110"/>
      <c r="HT110"/>
      <c r="HU110"/>
      <c r="HV110"/>
    </row>
    <row r="111" spans="1:230" s="1" customForma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T111" s="32"/>
      <c r="U111" s="4"/>
      <c r="AN111" s="32"/>
      <c r="AO111" s="16"/>
      <c r="AP111" s="16"/>
      <c r="AQ111" s="16"/>
      <c r="AR111" s="32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32"/>
      <c r="BE111" s="16"/>
      <c r="BF111" s="16"/>
      <c r="BG111" s="16"/>
      <c r="BH111" s="32"/>
      <c r="BI111" s="32"/>
      <c r="BJ111" s="32"/>
      <c r="BK111" s="32"/>
      <c r="BL111" s="32"/>
      <c r="BM111" s="32"/>
      <c r="BN111" s="16"/>
      <c r="BO111" s="16"/>
      <c r="BP111" s="16"/>
      <c r="BQ111" s="16"/>
      <c r="BR111" s="16"/>
      <c r="BS111" s="16"/>
      <c r="BT111" s="16"/>
      <c r="BU111" s="16"/>
      <c r="BV111" s="56"/>
      <c r="BW111" s="16"/>
      <c r="BX111" s="16"/>
      <c r="BY111" s="16"/>
      <c r="BZ111" s="16"/>
      <c r="CA111" s="16"/>
      <c r="CB111" s="16"/>
      <c r="CC111" s="16"/>
      <c r="CD111" s="16"/>
      <c r="CE111" s="111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5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56"/>
      <c r="DZ111" s="56"/>
      <c r="EA111" s="56"/>
      <c r="EB111" s="56"/>
      <c r="EC111" s="56"/>
      <c r="ED111" s="56"/>
      <c r="EE111" s="56"/>
      <c r="EF111" s="56"/>
      <c r="EG111" s="56"/>
      <c r="EH111" s="56"/>
      <c r="EI111" s="56"/>
      <c r="EJ111" s="56"/>
      <c r="EK111" s="56"/>
      <c r="EL111" s="12"/>
      <c r="EM111" s="12"/>
      <c r="EN111" s="12"/>
      <c r="EO111" s="12"/>
      <c r="EP111" s="12"/>
      <c r="EQ111" s="12"/>
      <c r="ER111" s="12"/>
      <c r="ES111" s="12"/>
      <c r="ET111" s="12"/>
      <c r="EU111" s="12"/>
      <c r="EV111" s="12"/>
      <c r="EW111" s="12"/>
      <c r="EX111" s="12"/>
      <c r="EY111" s="12"/>
      <c r="EZ111" s="12"/>
      <c r="FA111" s="12"/>
      <c r="FB111" s="12"/>
      <c r="FC111" s="12"/>
      <c r="FD111" s="12"/>
      <c r="FE111" s="12"/>
      <c r="FF111" s="12"/>
      <c r="FG111" s="12"/>
      <c r="FH111" s="12"/>
      <c r="FI111" s="12"/>
      <c r="FJ111" s="12"/>
      <c r="FK111" s="12"/>
      <c r="FL111" s="12"/>
      <c r="FM111" s="12"/>
      <c r="FN111" s="12"/>
      <c r="FO111" s="12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  <c r="GI111" s="25"/>
      <c r="GJ111" s="25"/>
      <c r="GK111" s="25"/>
      <c r="GL111" s="25"/>
      <c r="GM111" s="25"/>
      <c r="GN111" s="25"/>
      <c r="GO111" s="25"/>
      <c r="GP111" s="25"/>
      <c r="GQ111" s="25"/>
      <c r="GR111" s="25"/>
      <c r="GS111" s="25"/>
      <c r="GT111" s="25"/>
      <c r="GU111" s="25"/>
      <c r="GV111" s="25"/>
      <c r="GW111" s="25"/>
      <c r="GX111" s="25"/>
      <c r="GY111" s="25"/>
      <c r="GZ111" s="25"/>
      <c r="HA111" s="25"/>
      <c r="HB111" s="25"/>
      <c r="HC111" s="25"/>
      <c r="HD111" s="25"/>
      <c r="HE111" s="25"/>
      <c r="HF111" s="16"/>
      <c r="HG111" s="16"/>
      <c r="HH111" s="16"/>
      <c r="HI111" s="16"/>
      <c r="HJ111" s="16"/>
      <c r="HK111" s="16"/>
      <c r="HL111" s="16"/>
      <c r="HM111" s="51"/>
      <c r="HN111" s="51"/>
      <c r="HO111" s="51"/>
      <c r="HP111" s="51"/>
      <c r="HQ111" s="51"/>
      <c r="HR111" s="51"/>
      <c r="HS111"/>
      <c r="HT111"/>
      <c r="HU111"/>
      <c r="HV111"/>
    </row>
    <row r="112" spans="1:230" s="1" customForma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T112" s="32"/>
      <c r="U112" s="4"/>
      <c r="AN112" s="32"/>
      <c r="AO112" s="16"/>
      <c r="AP112" s="16"/>
      <c r="AQ112" s="16"/>
      <c r="AR112" s="32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32"/>
      <c r="BE112" s="16"/>
      <c r="BF112" s="16"/>
      <c r="BG112" s="16"/>
      <c r="BH112" s="32"/>
      <c r="BI112" s="32"/>
      <c r="BJ112" s="32"/>
      <c r="BK112" s="32"/>
      <c r="BL112" s="32"/>
      <c r="BM112" s="32"/>
      <c r="BN112" s="16"/>
      <c r="BO112" s="16"/>
      <c r="BP112" s="16"/>
      <c r="BQ112" s="16"/>
      <c r="BR112" s="16"/>
      <c r="BS112" s="16"/>
      <c r="BT112" s="16"/>
      <c r="BU112" s="16"/>
      <c r="BV112" s="56"/>
      <c r="BW112" s="16"/>
      <c r="BX112" s="16"/>
      <c r="BY112" s="16"/>
      <c r="BZ112" s="16"/>
      <c r="CA112" s="16"/>
      <c r="CB112" s="16"/>
      <c r="CC112" s="16"/>
      <c r="CD112" s="16"/>
      <c r="CE112" s="111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5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56"/>
      <c r="DZ112" s="56"/>
      <c r="EA112" s="56"/>
      <c r="EB112" s="56"/>
      <c r="EC112" s="56"/>
      <c r="ED112" s="56"/>
      <c r="EE112" s="56"/>
      <c r="EF112" s="56"/>
      <c r="EG112" s="56"/>
      <c r="EH112" s="56"/>
      <c r="EI112" s="56"/>
      <c r="EJ112" s="56"/>
      <c r="EK112" s="56"/>
      <c r="EL112" s="12"/>
      <c r="EM112" s="12"/>
      <c r="EN112" s="12"/>
      <c r="EO112" s="12"/>
      <c r="EP112" s="12"/>
      <c r="EQ112" s="12"/>
      <c r="ER112" s="12"/>
      <c r="ES112" s="12"/>
      <c r="ET112" s="12"/>
      <c r="EU112" s="12"/>
      <c r="EV112" s="12"/>
      <c r="EW112" s="12"/>
      <c r="EX112" s="12"/>
      <c r="EY112" s="12"/>
      <c r="EZ112" s="12"/>
      <c r="FA112" s="12"/>
      <c r="FB112" s="12"/>
      <c r="FC112" s="12"/>
      <c r="FD112" s="12"/>
      <c r="FE112" s="12"/>
      <c r="FF112" s="12"/>
      <c r="FG112" s="12"/>
      <c r="FH112" s="12"/>
      <c r="FI112" s="12"/>
      <c r="FJ112" s="12"/>
      <c r="FK112" s="12"/>
      <c r="FL112" s="12"/>
      <c r="FM112" s="12"/>
      <c r="FN112" s="12"/>
      <c r="FO112" s="12"/>
      <c r="FP112" s="2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  <c r="GI112" s="25"/>
      <c r="GJ112" s="25"/>
      <c r="GK112" s="25"/>
      <c r="GL112" s="25"/>
      <c r="GM112" s="25"/>
      <c r="GN112" s="25"/>
      <c r="GO112" s="25"/>
      <c r="GP112" s="25"/>
      <c r="GQ112" s="25"/>
      <c r="GR112" s="25"/>
      <c r="GS112" s="25"/>
      <c r="GT112" s="25"/>
      <c r="GU112" s="25"/>
      <c r="GV112" s="25"/>
      <c r="GW112" s="25"/>
      <c r="GX112" s="25"/>
      <c r="GY112" s="25"/>
      <c r="GZ112" s="25"/>
      <c r="HA112" s="25"/>
      <c r="HB112" s="25"/>
      <c r="HC112" s="25"/>
      <c r="HD112" s="25"/>
      <c r="HE112" s="25"/>
      <c r="HF112" s="16"/>
      <c r="HG112" s="16"/>
      <c r="HH112" s="16"/>
      <c r="HI112" s="16"/>
      <c r="HJ112" s="16"/>
      <c r="HK112" s="16"/>
      <c r="HL112" s="16"/>
      <c r="HM112" s="51"/>
      <c r="HN112" s="51"/>
      <c r="HO112" s="51"/>
      <c r="HP112" s="51"/>
      <c r="HQ112" s="51"/>
      <c r="HR112" s="51"/>
      <c r="HS112"/>
      <c r="HT112"/>
      <c r="HU112"/>
      <c r="HV112"/>
    </row>
    <row r="113" spans="1:230" s="1" customForma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T113" s="32"/>
      <c r="U113" s="4"/>
      <c r="AN113" s="32"/>
      <c r="AO113" s="16"/>
      <c r="AP113" s="16"/>
      <c r="AQ113" s="16"/>
      <c r="AR113" s="32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32"/>
      <c r="BE113" s="16"/>
      <c r="BF113" s="16"/>
      <c r="BG113" s="16"/>
      <c r="BH113" s="32"/>
      <c r="BI113" s="32"/>
      <c r="BJ113" s="32"/>
      <c r="BK113" s="32"/>
      <c r="BL113" s="32"/>
      <c r="BM113" s="32"/>
      <c r="BN113" s="16"/>
      <c r="BO113" s="16"/>
      <c r="BP113" s="16"/>
      <c r="BQ113" s="16"/>
      <c r="BR113" s="16"/>
      <c r="BS113" s="16"/>
      <c r="BT113" s="16"/>
      <c r="BU113" s="16"/>
      <c r="BV113" s="56"/>
      <c r="BW113" s="16"/>
      <c r="BX113" s="16"/>
      <c r="BY113" s="16"/>
      <c r="BZ113" s="16"/>
      <c r="CA113" s="16"/>
      <c r="CB113" s="16"/>
      <c r="CC113" s="16"/>
      <c r="CD113" s="16"/>
      <c r="CE113" s="111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5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56"/>
      <c r="DZ113" s="56"/>
      <c r="EA113" s="56"/>
      <c r="EB113" s="56"/>
      <c r="EC113" s="56"/>
      <c r="ED113" s="56"/>
      <c r="EE113" s="56"/>
      <c r="EF113" s="56"/>
      <c r="EG113" s="56"/>
      <c r="EH113" s="56"/>
      <c r="EI113" s="56"/>
      <c r="EJ113" s="56"/>
      <c r="EK113" s="56"/>
      <c r="EL113" s="12"/>
      <c r="EM113" s="12"/>
      <c r="EN113" s="12"/>
      <c r="EO113" s="12"/>
      <c r="EP113" s="12"/>
      <c r="EQ113" s="12"/>
      <c r="ER113" s="12"/>
      <c r="ES113" s="12"/>
      <c r="ET113" s="12"/>
      <c r="EU113" s="12"/>
      <c r="EV113" s="12"/>
      <c r="EW113" s="12"/>
      <c r="EX113" s="12"/>
      <c r="EY113" s="12"/>
      <c r="EZ113" s="12"/>
      <c r="FA113" s="12"/>
      <c r="FB113" s="12"/>
      <c r="FC113" s="12"/>
      <c r="FD113" s="12"/>
      <c r="FE113" s="12"/>
      <c r="FF113" s="12"/>
      <c r="FG113" s="12"/>
      <c r="FH113" s="12"/>
      <c r="FI113" s="12"/>
      <c r="FJ113" s="12"/>
      <c r="FK113" s="12"/>
      <c r="FL113" s="12"/>
      <c r="FM113" s="12"/>
      <c r="FN113" s="12"/>
      <c r="FO113" s="12"/>
      <c r="FP113" s="2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  <c r="GJ113" s="25"/>
      <c r="GK113" s="25"/>
      <c r="GL113" s="25"/>
      <c r="GM113" s="25"/>
      <c r="GN113" s="25"/>
      <c r="GO113" s="25"/>
      <c r="GP113" s="25"/>
      <c r="GQ113" s="25"/>
      <c r="GR113" s="25"/>
      <c r="GS113" s="25"/>
      <c r="GT113" s="25"/>
      <c r="GU113" s="25"/>
      <c r="GV113" s="25"/>
      <c r="GW113" s="25"/>
      <c r="GX113" s="25"/>
      <c r="GY113" s="25"/>
      <c r="GZ113" s="25"/>
      <c r="HA113" s="25"/>
      <c r="HB113" s="25"/>
      <c r="HC113" s="25"/>
      <c r="HD113" s="25"/>
      <c r="HE113" s="25"/>
      <c r="HF113" s="16"/>
      <c r="HG113" s="16"/>
      <c r="HH113" s="16"/>
      <c r="HI113" s="16"/>
      <c r="HJ113" s="16"/>
      <c r="HK113" s="16"/>
      <c r="HL113" s="16"/>
      <c r="HM113" s="51"/>
      <c r="HN113" s="51"/>
      <c r="HO113" s="51"/>
      <c r="HP113" s="51"/>
      <c r="HQ113" s="51"/>
      <c r="HR113" s="51"/>
      <c r="HS113"/>
      <c r="HT113"/>
      <c r="HU113"/>
      <c r="HV113"/>
    </row>
    <row r="114" spans="1:230" s="1" customForma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T114" s="32"/>
      <c r="U114" s="4"/>
      <c r="AN114" s="32"/>
      <c r="AO114" s="16"/>
      <c r="AP114" s="16"/>
      <c r="AQ114" s="16"/>
      <c r="AR114" s="32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32"/>
      <c r="BE114" s="16"/>
      <c r="BF114" s="16"/>
      <c r="BG114" s="16"/>
      <c r="BH114" s="32"/>
      <c r="BI114" s="32"/>
      <c r="BJ114" s="32"/>
      <c r="BK114" s="32"/>
      <c r="BL114" s="32"/>
      <c r="BM114" s="32"/>
      <c r="BN114" s="16"/>
      <c r="BO114" s="16"/>
      <c r="BP114" s="16"/>
      <c r="BQ114" s="16"/>
      <c r="BR114" s="16"/>
      <c r="BS114" s="16"/>
      <c r="BT114" s="16"/>
      <c r="BU114" s="16"/>
      <c r="BV114" s="56"/>
      <c r="BW114" s="16"/>
      <c r="BX114" s="16"/>
      <c r="BY114" s="16"/>
      <c r="BZ114" s="16"/>
      <c r="CA114" s="16"/>
      <c r="CB114" s="16"/>
      <c r="CC114" s="16"/>
      <c r="CD114" s="16"/>
      <c r="CE114" s="111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5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56"/>
      <c r="DZ114" s="56"/>
      <c r="EA114" s="56"/>
      <c r="EB114" s="56"/>
      <c r="EC114" s="56"/>
      <c r="ED114" s="56"/>
      <c r="EE114" s="56"/>
      <c r="EF114" s="56"/>
      <c r="EG114" s="56"/>
      <c r="EH114" s="56"/>
      <c r="EI114" s="56"/>
      <c r="EJ114" s="56"/>
      <c r="EK114" s="56"/>
      <c r="EL114" s="12"/>
      <c r="EM114" s="12"/>
      <c r="EN114" s="12"/>
      <c r="EO114" s="12"/>
      <c r="EP114" s="12"/>
      <c r="EQ114" s="12"/>
      <c r="ER114" s="12"/>
      <c r="ES114" s="12"/>
      <c r="ET114" s="12"/>
      <c r="EU114" s="12"/>
      <c r="EV114" s="12"/>
      <c r="EW114" s="12"/>
      <c r="EX114" s="12"/>
      <c r="EY114" s="12"/>
      <c r="EZ114" s="12"/>
      <c r="FA114" s="12"/>
      <c r="FB114" s="12"/>
      <c r="FC114" s="12"/>
      <c r="FD114" s="12"/>
      <c r="FE114" s="12"/>
      <c r="FF114" s="12"/>
      <c r="FG114" s="12"/>
      <c r="FH114" s="12"/>
      <c r="FI114" s="12"/>
      <c r="FJ114" s="12"/>
      <c r="FK114" s="12"/>
      <c r="FL114" s="12"/>
      <c r="FM114" s="12"/>
      <c r="FN114" s="12"/>
      <c r="FO114" s="12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  <c r="GJ114" s="25"/>
      <c r="GK114" s="25"/>
      <c r="GL114" s="25"/>
      <c r="GM114" s="25"/>
      <c r="GN114" s="25"/>
      <c r="GO114" s="25"/>
      <c r="GP114" s="25"/>
      <c r="GQ114" s="25"/>
      <c r="GR114" s="25"/>
      <c r="GS114" s="25"/>
      <c r="GT114" s="25"/>
      <c r="GU114" s="25"/>
      <c r="GV114" s="25"/>
      <c r="GW114" s="25"/>
      <c r="GX114" s="25"/>
      <c r="GY114" s="25"/>
      <c r="GZ114" s="25"/>
      <c r="HA114" s="25"/>
      <c r="HB114" s="25"/>
      <c r="HC114" s="25"/>
      <c r="HD114" s="25"/>
      <c r="HE114" s="25"/>
      <c r="HF114" s="16"/>
      <c r="HG114" s="16"/>
      <c r="HH114" s="16"/>
      <c r="HI114" s="16"/>
      <c r="HJ114" s="16"/>
      <c r="HK114" s="16"/>
      <c r="HL114" s="16"/>
      <c r="HM114" s="51"/>
      <c r="HN114" s="51"/>
      <c r="HO114" s="51"/>
      <c r="HP114" s="51"/>
      <c r="HQ114" s="51"/>
      <c r="HR114" s="51"/>
      <c r="HS114"/>
      <c r="HT114"/>
      <c r="HU114"/>
      <c r="HV114"/>
    </row>
    <row r="115" spans="1:230" s="1" customForma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T115" s="32"/>
      <c r="U115" s="4"/>
      <c r="AN115" s="32"/>
      <c r="AO115" s="16"/>
      <c r="AP115" s="16"/>
      <c r="AQ115" s="16"/>
      <c r="AR115" s="32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32"/>
      <c r="BE115" s="16"/>
      <c r="BF115" s="16"/>
      <c r="BG115" s="16"/>
      <c r="BH115" s="32"/>
      <c r="BI115" s="32"/>
      <c r="BJ115" s="32"/>
      <c r="BK115" s="32"/>
      <c r="BL115" s="32"/>
      <c r="BM115" s="32"/>
      <c r="BN115" s="16"/>
      <c r="BO115" s="16"/>
      <c r="BP115" s="16"/>
      <c r="BQ115" s="16"/>
      <c r="BR115" s="16"/>
      <c r="BS115" s="16"/>
      <c r="BT115" s="16"/>
      <c r="BU115" s="16"/>
      <c r="BV115" s="56"/>
      <c r="BW115" s="16"/>
      <c r="BX115" s="16"/>
      <c r="BY115" s="16"/>
      <c r="BZ115" s="16"/>
      <c r="CA115" s="16"/>
      <c r="CB115" s="16"/>
      <c r="CC115" s="16"/>
      <c r="CD115" s="16"/>
      <c r="CE115" s="111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5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56"/>
      <c r="DZ115" s="56"/>
      <c r="EA115" s="56"/>
      <c r="EB115" s="56"/>
      <c r="EC115" s="56"/>
      <c r="ED115" s="56"/>
      <c r="EE115" s="56"/>
      <c r="EF115" s="56"/>
      <c r="EG115" s="56"/>
      <c r="EH115" s="56"/>
      <c r="EI115" s="56"/>
      <c r="EJ115" s="56"/>
      <c r="EK115" s="56"/>
      <c r="EL115" s="12"/>
      <c r="EM115" s="12"/>
      <c r="EN115" s="12"/>
      <c r="EO115" s="12"/>
      <c r="EP115" s="12"/>
      <c r="EQ115" s="12"/>
      <c r="ER115" s="12"/>
      <c r="ES115" s="12"/>
      <c r="ET115" s="12"/>
      <c r="EU115" s="12"/>
      <c r="EV115" s="12"/>
      <c r="EW115" s="12"/>
      <c r="EX115" s="12"/>
      <c r="EY115" s="12"/>
      <c r="EZ115" s="12"/>
      <c r="FA115" s="12"/>
      <c r="FB115" s="12"/>
      <c r="FC115" s="12"/>
      <c r="FD115" s="12"/>
      <c r="FE115" s="12"/>
      <c r="FF115" s="12"/>
      <c r="FG115" s="12"/>
      <c r="FH115" s="12"/>
      <c r="FI115" s="12"/>
      <c r="FJ115" s="12"/>
      <c r="FK115" s="12"/>
      <c r="FL115" s="12"/>
      <c r="FM115" s="12"/>
      <c r="FN115" s="12"/>
      <c r="FO115" s="12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  <c r="GR115" s="25"/>
      <c r="GS115" s="25"/>
      <c r="GT115" s="25"/>
      <c r="GU115" s="25"/>
      <c r="GV115" s="25"/>
      <c r="GW115" s="25"/>
      <c r="GX115" s="25"/>
      <c r="GY115" s="25"/>
      <c r="GZ115" s="25"/>
      <c r="HA115" s="25"/>
      <c r="HB115" s="25"/>
      <c r="HC115" s="25"/>
      <c r="HD115" s="25"/>
      <c r="HE115" s="25"/>
      <c r="HF115" s="16"/>
      <c r="HG115" s="16"/>
      <c r="HH115" s="16"/>
      <c r="HI115" s="16"/>
      <c r="HJ115" s="16"/>
      <c r="HK115" s="16"/>
      <c r="HL115" s="16"/>
      <c r="HM115" s="51"/>
      <c r="HN115" s="51"/>
      <c r="HO115" s="51"/>
      <c r="HP115" s="51"/>
      <c r="HQ115" s="51"/>
      <c r="HR115" s="51"/>
      <c r="HS115"/>
      <c r="HT115"/>
      <c r="HU115"/>
      <c r="HV115"/>
    </row>
    <row r="116" spans="1:230" s="1" customForma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T116" s="32"/>
      <c r="U116" s="4"/>
      <c r="AN116" s="32"/>
      <c r="AO116" s="16"/>
      <c r="AP116" s="16"/>
      <c r="AQ116" s="16"/>
      <c r="AR116" s="32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32"/>
      <c r="BE116" s="16"/>
      <c r="BF116" s="16"/>
      <c r="BG116" s="16"/>
      <c r="BH116" s="32"/>
      <c r="BI116" s="32"/>
      <c r="BJ116" s="32"/>
      <c r="BK116" s="32"/>
      <c r="BL116" s="32"/>
      <c r="BM116" s="32"/>
      <c r="BN116" s="16"/>
      <c r="BO116" s="16"/>
      <c r="BP116" s="16"/>
      <c r="BQ116" s="16"/>
      <c r="BR116" s="16"/>
      <c r="BS116" s="16"/>
      <c r="BT116" s="16"/>
      <c r="BU116" s="16"/>
      <c r="BV116" s="56"/>
      <c r="BW116" s="16"/>
      <c r="BX116" s="16"/>
      <c r="BY116" s="16"/>
      <c r="BZ116" s="16"/>
      <c r="CA116" s="16"/>
      <c r="CB116" s="16"/>
      <c r="CC116" s="16"/>
      <c r="CD116" s="16"/>
      <c r="CE116" s="111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5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56"/>
      <c r="DZ116" s="56"/>
      <c r="EA116" s="56"/>
      <c r="EB116" s="56"/>
      <c r="EC116" s="56"/>
      <c r="ED116" s="56"/>
      <c r="EE116" s="56"/>
      <c r="EF116" s="56"/>
      <c r="EG116" s="56"/>
      <c r="EH116" s="56"/>
      <c r="EI116" s="56"/>
      <c r="EJ116" s="56"/>
      <c r="EK116" s="56"/>
      <c r="EL116" s="12"/>
      <c r="EM116" s="12"/>
      <c r="EN116" s="12"/>
      <c r="EO116" s="12"/>
      <c r="EP116" s="12"/>
      <c r="EQ116" s="12"/>
      <c r="ER116" s="12"/>
      <c r="ES116" s="12"/>
      <c r="ET116" s="12"/>
      <c r="EU116" s="12"/>
      <c r="EV116" s="12"/>
      <c r="EW116" s="12"/>
      <c r="EX116" s="12"/>
      <c r="EY116" s="12"/>
      <c r="EZ116" s="12"/>
      <c r="FA116" s="12"/>
      <c r="FB116" s="12"/>
      <c r="FC116" s="12"/>
      <c r="FD116" s="12"/>
      <c r="FE116" s="12"/>
      <c r="FF116" s="12"/>
      <c r="FG116" s="12"/>
      <c r="FH116" s="12"/>
      <c r="FI116" s="12"/>
      <c r="FJ116" s="12"/>
      <c r="FK116" s="12"/>
      <c r="FL116" s="12"/>
      <c r="FM116" s="12"/>
      <c r="FN116" s="12"/>
      <c r="FO116" s="12"/>
      <c r="FP116" s="25"/>
      <c r="FQ116" s="25"/>
      <c r="FR116" s="25"/>
      <c r="FS116" s="25"/>
      <c r="FT116" s="25"/>
      <c r="FU116" s="25"/>
      <c r="FV116" s="25"/>
      <c r="FW116" s="25"/>
      <c r="FX116" s="25"/>
      <c r="FY116" s="25"/>
      <c r="FZ116" s="25"/>
      <c r="GA116" s="25"/>
      <c r="GB116" s="25"/>
      <c r="GC116" s="25"/>
      <c r="GD116" s="25"/>
      <c r="GE116" s="25"/>
      <c r="GF116" s="25"/>
      <c r="GG116" s="25"/>
      <c r="GH116" s="25"/>
      <c r="GI116" s="25"/>
      <c r="GJ116" s="25"/>
      <c r="GK116" s="25"/>
      <c r="GL116" s="25"/>
      <c r="GM116" s="25"/>
      <c r="GN116" s="25"/>
      <c r="GO116" s="25"/>
      <c r="GP116" s="25"/>
      <c r="GQ116" s="25"/>
      <c r="GR116" s="25"/>
      <c r="GS116" s="25"/>
      <c r="GT116" s="25"/>
      <c r="GU116" s="25"/>
      <c r="GV116" s="25"/>
      <c r="GW116" s="25"/>
      <c r="GX116" s="25"/>
      <c r="GY116" s="25"/>
      <c r="GZ116" s="25"/>
      <c r="HA116" s="25"/>
      <c r="HB116" s="25"/>
      <c r="HC116" s="25"/>
      <c r="HD116" s="25"/>
      <c r="HE116" s="25"/>
      <c r="HF116" s="16"/>
      <c r="HG116" s="16"/>
      <c r="HH116" s="16"/>
      <c r="HI116" s="16"/>
      <c r="HJ116" s="16"/>
      <c r="HK116" s="16"/>
      <c r="HL116" s="16"/>
      <c r="HM116" s="51"/>
      <c r="HN116" s="51"/>
      <c r="HO116" s="51"/>
      <c r="HP116" s="51"/>
      <c r="HQ116" s="51"/>
      <c r="HR116" s="51"/>
      <c r="HS116"/>
      <c r="HT116"/>
      <c r="HU116"/>
      <c r="HV116"/>
    </row>
    <row r="117" spans="1:230" s="1" customForma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T117" s="32"/>
      <c r="U117" s="4"/>
      <c r="AN117" s="32"/>
      <c r="AO117" s="16"/>
      <c r="AP117" s="16"/>
      <c r="AQ117" s="16"/>
      <c r="AR117" s="32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32"/>
      <c r="BE117" s="16"/>
      <c r="BF117" s="16"/>
      <c r="BG117" s="16"/>
      <c r="BH117" s="32"/>
      <c r="BI117" s="32"/>
      <c r="BJ117" s="32"/>
      <c r="BK117" s="32"/>
      <c r="BL117" s="32"/>
      <c r="BM117" s="32"/>
      <c r="BN117" s="16"/>
      <c r="BO117" s="16"/>
      <c r="BP117" s="16"/>
      <c r="BQ117" s="16"/>
      <c r="BR117" s="16"/>
      <c r="BS117" s="16"/>
      <c r="BT117" s="16"/>
      <c r="BU117" s="16"/>
      <c r="BV117" s="56"/>
      <c r="BW117" s="16"/>
      <c r="BX117" s="16"/>
      <c r="BY117" s="16"/>
      <c r="BZ117" s="16"/>
      <c r="CA117" s="16"/>
      <c r="CB117" s="16"/>
      <c r="CC117" s="16"/>
      <c r="CD117" s="16"/>
      <c r="CE117" s="111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5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56"/>
      <c r="DZ117" s="56"/>
      <c r="EA117" s="56"/>
      <c r="EB117" s="56"/>
      <c r="EC117" s="56"/>
      <c r="ED117" s="56"/>
      <c r="EE117" s="56"/>
      <c r="EF117" s="56"/>
      <c r="EG117" s="56"/>
      <c r="EH117" s="56"/>
      <c r="EI117" s="56"/>
      <c r="EJ117" s="56"/>
      <c r="EK117" s="56"/>
      <c r="EL117" s="12"/>
      <c r="EM117" s="12"/>
      <c r="EN117" s="12"/>
      <c r="EO117" s="12"/>
      <c r="EP117" s="12"/>
      <c r="EQ117" s="12"/>
      <c r="ER117" s="12"/>
      <c r="ES117" s="12"/>
      <c r="ET117" s="12"/>
      <c r="EU117" s="12"/>
      <c r="EV117" s="12"/>
      <c r="EW117" s="12"/>
      <c r="EX117" s="12"/>
      <c r="EY117" s="12"/>
      <c r="EZ117" s="12"/>
      <c r="FA117" s="12"/>
      <c r="FB117" s="12"/>
      <c r="FC117" s="12"/>
      <c r="FD117" s="12"/>
      <c r="FE117" s="12"/>
      <c r="FF117" s="12"/>
      <c r="FG117" s="12"/>
      <c r="FH117" s="12"/>
      <c r="FI117" s="12"/>
      <c r="FJ117" s="12"/>
      <c r="FK117" s="12"/>
      <c r="FL117" s="12"/>
      <c r="FM117" s="12"/>
      <c r="FN117" s="12"/>
      <c r="FO117" s="12"/>
      <c r="FP117" s="25"/>
      <c r="FQ117" s="25"/>
      <c r="FR117" s="25"/>
      <c r="FS117" s="25"/>
      <c r="FT117" s="25"/>
      <c r="FU117" s="25"/>
      <c r="FV117" s="25"/>
      <c r="FW117" s="25"/>
      <c r="FX117" s="25"/>
      <c r="FY117" s="25"/>
      <c r="FZ117" s="25"/>
      <c r="GA117" s="25"/>
      <c r="GB117" s="25"/>
      <c r="GC117" s="25"/>
      <c r="GD117" s="25"/>
      <c r="GE117" s="25"/>
      <c r="GF117" s="25"/>
      <c r="GG117" s="25"/>
      <c r="GH117" s="25"/>
      <c r="GI117" s="25"/>
      <c r="GJ117" s="25"/>
      <c r="GK117" s="25"/>
      <c r="GL117" s="25"/>
      <c r="GM117" s="25"/>
      <c r="GN117" s="25"/>
      <c r="GO117" s="25"/>
      <c r="GP117" s="25"/>
      <c r="GQ117" s="25"/>
      <c r="GR117" s="25"/>
      <c r="GS117" s="25"/>
      <c r="GT117" s="25"/>
      <c r="GU117" s="25"/>
      <c r="GV117" s="25"/>
      <c r="GW117" s="25"/>
      <c r="GX117" s="25"/>
      <c r="GY117" s="25"/>
      <c r="GZ117" s="25"/>
      <c r="HA117" s="25"/>
      <c r="HB117" s="25"/>
      <c r="HC117" s="25"/>
      <c r="HD117" s="25"/>
      <c r="HE117" s="25"/>
      <c r="HF117" s="16"/>
      <c r="HG117" s="16"/>
      <c r="HH117" s="16"/>
      <c r="HI117" s="16"/>
      <c r="HJ117" s="16"/>
      <c r="HK117" s="16"/>
      <c r="HL117" s="16"/>
      <c r="HM117" s="51"/>
      <c r="HN117" s="51"/>
      <c r="HO117" s="51"/>
      <c r="HP117" s="51"/>
      <c r="HQ117" s="51"/>
      <c r="HR117" s="51"/>
      <c r="HS117"/>
      <c r="HT117"/>
      <c r="HU117"/>
      <c r="HV117"/>
    </row>
    <row r="118" spans="1:230" s="1" customForma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T118" s="32"/>
      <c r="U118" s="4"/>
      <c r="AN118" s="32"/>
      <c r="AO118" s="16"/>
      <c r="AP118" s="16"/>
      <c r="AQ118" s="16"/>
      <c r="AR118" s="32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32"/>
      <c r="BE118" s="16"/>
      <c r="BF118" s="16"/>
      <c r="BG118" s="16"/>
      <c r="BH118" s="32"/>
      <c r="BI118" s="32"/>
      <c r="BJ118" s="32"/>
      <c r="BK118" s="32"/>
      <c r="BL118" s="32"/>
      <c r="BM118" s="32"/>
      <c r="BN118" s="16"/>
      <c r="BO118" s="16"/>
      <c r="BP118" s="16"/>
      <c r="BQ118" s="16"/>
      <c r="BR118" s="16"/>
      <c r="BS118" s="16"/>
      <c r="BT118" s="16"/>
      <c r="BU118" s="16"/>
      <c r="BV118" s="56"/>
      <c r="BW118" s="16"/>
      <c r="BX118" s="16"/>
      <c r="BY118" s="16"/>
      <c r="BZ118" s="16"/>
      <c r="CA118" s="16"/>
      <c r="CB118" s="16"/>
      <c r="CC118" s="16"/>
      <c r="CD118" s="16"/>
      <c r="CE118" s="111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5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56"/>
      <c r="DZ118" s="56"/>
      <c r="EA118" s="56"/>
      <c r="EB118" s="56"/>
      <c r="EC118" s="56"/>
      <c r="ED118" s="56"/>
      <c r="EE118" s="56"/>
      <c r="EF118" s="56"/>
      <c r="EG118" s="56"/>
      <c r="EH118" s="56"/>
      <c r="EI118" s="56"/>
      <c r="EJ118" s="56"/>
      <c r="EK118" s="56"/>
      <c r="EL118" s="12"/>
      <c r="EM118" s="12"/>
      <c r="EN118" s="12"/>
      <c r="EO118" s="12"/>
      <c r="EP118" s="12"/>
      <c r="EQ118" s="12"/>
      <c r="ER118" s="12"/>
      <c r="ES118" s="12"/>
      <c r="ET118" s="12"/>
      <c r="EU118" s="12"/>
      <c r="EV118" s="12"/>
      <c r="EW118" s="12"/>
      <c r="EX118" s="12"/>
      <c r="EY118" s="12"/>
      <c r="EZ118" s="12"/>
      <c r="FA118" s="12"/>
      <c r="FB118" s="12"/>
      <c r="FC118" s="12"/>
      <c r="FD118" s="12"/>
      <c r="FE118" s="12"/>
      <c r="FF118" s="12"/>
      <c r="FG118" s="12"/>
      <c r="FH118" s="12"/>
      <c r="FI118" s="12"/>
      <c r="FJ118" s="12"/>
      <c r="FK118" s="12"/>
      <c r="FL118" s="12"/>
      <c r="FM118" s="12"/>
      <c r="FN118" s="12"/>
      <c r="FO118" s="12"/>
      <c r="FP118" s="25"/>
      <c r="FQ118" s="25"/>
      <c r="FR118" s="25"/>
      <c r="FS118" s="25"/>
      <c r="FT118" s="25"/>
      <c r="FU118" s="25"/>
      <c r="FV118" s="25"/>
      <c r="FW118" s="25"/>
      <c r="FX118" s="25"/>
      <c r="FY118" s="25"/>
      <c r="FZ118" s="25"/>
      <c r="GA118" s="25"/>
      <c r="GB118" s="25"/>
      <c r="GC118" s="25"/>
      <c r="GD118" s="25"/>
      <c r="GE118" s="25"/>
      <c r="GF118" s="25"/>
      <c r="GG118" s="25"/>
      <c r="GH118" s="25"/>
      <c r="GI118" s="25"/>
      <c r="GJ118" s="25"/>
      <c r="GK118" s="25"/>
      <c r="GL118" s="25"/>
      <c r="GM118" s="25"/>
      <c r="GN118" s="25"/>
      <c r="GO118" s="25"/>
      <c r="GP118" s="25"/>
      <c r="GQ118" s="25"/>
      <c r="GR118" s="25"/>
      <c r="GS118" s="25"/>
      <c r="GT118" s="25"/>
      <c r="GU118" s="25"/>
      <c r="GV118" s="25"/>
      <c r="GW118" s="25"/>
      <c r="GX118" s="25"/>
      <c r="GY118" s="25"/>
      <c r="GZ118" s="25"/>
      <c r="HA118" s="25"/>
      <c r="HB118" s="25"/>
      <c r="HC118" s="25"/>
      <c r="HD118" s="25"/>
      <c r="HE118" s="25"/>
      <c r="HF118" s="16"/>
      <c r="HG118" s="16"/>
      <c r="HH118" s="16"/>
      <c r="HI118" s="16"/>
      <c r="HJ118" s="16"/>
      <c r="HK118" s="16"/>
      <c r="HL118" s="16"/>
      <c r="HM118" s="51"/>
      <c r="HN118" s="51"/>
      <c r="HO118" s="51"/>
      <c r="HP118" s="51"/>
      <c r="HQ118" s="51"/>
      <c r="HR118" s="51"/>
      <c r="HS118"/>
      <c r="HT118"/>
      <c r="HU118"/>
      <c r="HV118"/>
    </row>
    <row r="119" spans="1:230" s="1" customForma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T119" s="32"/>
      <c r="U119" s="4"/>
      <c r="AN119" s="32"/>
      <c r="AO119" s="16"/>
      <c r="AP119" s="16"/>
      <c r="AQ119" s="16"/>
      <c r="AR119" s="32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32"/>
      <c r="BE119" s="16"/>
      <c r="BF119" s="16"/>
      <c r="BG119" s="16"/>
      <c r="BH119" s="32"/>
      <c r="BI119" s="32"/>
      <c r="BJ119" s="32"/>
      <c r="BK119" s="32"/>
      <c r="BL119" s="32"/>
      <c r="BM119" s="32"/>
      <c r="BN119" s="16"/>
      <c r="BO119" s="16"/>
      <c r="BP119" s="16"/>
      <c r="BQ119" s="16"/>
      <c r="BR119" s="16"/>
      <c r="BS119" s="16"/>
      <c r="BT119" s="16"/>
      <c r="BU119" s="16"/>
      <c r="BV119" s="56"/>
      <c r="BW119" s="16"/>
      <c r="BX119" s="16"/>
      <c r="BY119" s="16"/>
      <c r="BZ119" s="16"/>
      <c r="CA119" s="16"/>
      <c r="CB119" s="16"/>
      <c r="CC119" s="16"/>
      <c r="CD119" s="16"/>
      <c r="CE119" s="111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5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56"/>
      <c r="DZ119" s="56"/>
      <c r="EA119" s="56"/>
      <c r="EB119" s="56"/>
      <c r="EC119" s="56"/>
      <c r="ED119" s="56"/>
      <c r="EE119" s="56"/>
      <c r="EF119" s="56"/>
      <c r="EG119" s="56"/>
      <c r="EH119" s="56"/>
      <c r="EI119" s="56"/>
      <c r="EJ119" s="56"/>
      <c r="EK119" s="56"/>
      <c r="EL119" s="12"/>
      <c r="EM119" s="12"/>
      <c r="EN119" s="12"/>
      <c r="EO119" s="12"/>
      <c r="EP119" s="12"/>
      <c r="EQ119" s="12"/>
      <c r="ER119" s="12"/>
      <c r="ES119" s="12"/>
      <c r="ET119" s="12"/>
      <c r="EU119" s="12"/>
      <c r="EV119" s="12"/>
      <c r="EW119" s="12"/>
      <c r="EX119" s="12"/>
      <c r="EY119" s="12"/>
      <c r="EZ119" s="12"/>
      <c r="FA119" s="12"/>
      <c r="FB119" s="12"/>
      <c r="FC119" s="12"/>
      <c r="FD119" s="12"/>
      <c r="FE119" s="12"/>
      <c r="FF119" s="12"/>
      <c r="FG119" s="12"/>
      <c r="FH119" s="12"/>
      <c r="FI119" s="12"/>
      <c r="FJ119" s="12"/>
      <c r="FK119" s="12"/>
      <c r="FL119" s="12"/>
      <c r="FM119" s="12"/>
      <c r="FN119" s="12"/>
      <c r="FO119" s="12"/>
      <c r="FP119" s="25"/>
      <c r="FQ119" s="25"/>
      <c r="FR119" s="25"/>
      <c r="FS119" s="25"/>
      <c r="FT119" s="25"/>
      <c r="FU119" s="25"/>
      <c r="FV119" s="25"/>
      <c r="FW119" s="25"/>
      <c r="FX119" s="25"/>
      <c r="FY119" s="25"/>
      <c r="FZ119" s="25"/>
      <c r="GA119" s="25"/>
      <c r="GB119" s="25"/>
      <c r="GC119" s="25"/>
      <c r="GD119" s="25"/>
      <c r="GE119" s="25"/>
      <c r="GF119" s="25"/>
      <c r="GG119" s="25"/>
      <c r="GH119" s="25"/>
      <c r="GI119" s="25"/>
      <c r="GJ119" s="25"/>
      <c r="GK119" s="25"/>
      <c r="GL119" s="25"/>
      <c r="GM119" s="25"/>
      <c r="GN119" s="25"/>
      <c r="GO119" s="25"/>
      <c r="GP119" s="25"/>
      <c r="GQ119" s="25"/>
      <c r="GR119" s="25"/>
      <c r="GS119" s="25"/>
      <c r="GT119" s="25"/>
      <c r="GU119" s="25"/>
      <c r="GV119" s="25"/>
      <c r="GW119" s="25"/>
      <c r="GX119" s="25"/>
      <c r="GY119" s="25"/>
      <c r="GZ119" s="25"/>
      <c r="HA119" s="25"/>
      <c r="HB119" s="25"/>
      <c r="HC119" s="25"/>
      <c r="HD119" s="25"/>
      <c r="HE119" s="25"/>
      <c r="HF119" s="16"/>
      <c r="HG119" s="16"/>
      <c r="HH119" s="16"/>
      <c r="HI119" s="16"/>
      <c r="HJ119" s="16"/>
      <c r="HK119" s="16"/>
      <c r="HL119" s="16"/>
      <c r="HM119" s="51"/>
      <c r="HN119" s="51"/>
      <c r="HO119" s="51"/>
      <c r="HP119" s="51"/>
      <c r="HQ119" s="51"/>
      <c r="HR119" s="51"/>
      <c r="HS119"/>
      <c r="HT119"/>
      <c r="HU119"/>
      <c r="HV119"/>
    </row>
    <row r="120" spans="1:230" s="1" customForma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T120" s="32"/>
      <c r="U120" s="4"/>
      <c r="AN120" s="32"/>
      <c r="AO120" s="16"/>
      <c r="AP120" s="16"/>
      <c r="AQ120" s="16"/>
      <c r="AR120" s="32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32"/>
      <c r="BE120" s="16"/>
      <c r="BF120" s="16"/>
      <c r="BG120" s="16"/>
      <c r="BH120" s="32"/>
      <c r="BI120" s="32"/>
      <c r="BJ120" s="32"/>
      <c r="BK120" s="32"/>
      <c r="BL120" s="32"/>
      <c r="BM120" s="32"/>
      <c r="BN120" s="16"/>
      <c r="BO120" s="16"/>
      <c r="BP120" s="16"/>
      <c r="BQ120" s="16"/>
      <c r="BR120" s="16"/>
      <c r="BS120" s="16"/>
      <c r="BT120" s="16"/>
      <c r="BU120" s="16"/>
      <c r="BV120" s="56"/>
      <c r="BW120" s="16"/>
      <c r="BX120" s="16"/>
      <c r="BY120" s="16"/>
      <c r="BZ120" s="16"/>
      <c r="CA120" s="16"/>
      <c r="CB120" s="16"/>
      <c r="CC120" s="16"/>
      <c r="CD120" s="16"/>
      <c r="CE120" s="111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5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56"/>
      <c r="DZ120" s="56"/>
      <c r="EA120" s="56"/>
      <c r="EB120" s="56"/>
      <c r="EC120" s="56"/>
      <c r="ED120" s="56"/>
      <c r="EE120" s="56"/>
      <c r="EF120" s="56"/>
      <c r="EG120" s="56"/>
      <c r="EH120" s="56"/>
      <c r="EI120" s="56"/>
      <c r="EJ120" s="56"/>
      <c r="EK120" s="56"/>
      <c r="EL120" s="12"/>
      <c r="EM120" s="12"/>
      <c r="EN120" s="12"/>
      <c r="EO120" s="12"/>
      <c r="EP120" s="12"/>
      <c r="EQ120" s="12"/>
      <c r="ER120" s="12"/>
      <c r="ES120" s="12"/>
      <c r="ET120" s="12"/>
      <c r="EU120" s="12"/>
      <c r="EV120" s="12"/>
      <c r="EW120" s="12"/>
      <c r="EX120" s="12"/>
      <c r="EY120" s="12"/>
      <c r="EZ120" s="12"/>
      <c r="FA120" s="12"/>
      <c r="FB120" s="12"/>
      <c r="FC120" s="12"/>
      <c r="FD120" s="12"/>
      <c r="FE120" s="12"/>
      <c r="FF120" s="12"/>
      <c r="FG120" s="12"/>
      <c r="FH120" s="12"/>
      <c r="FI120" s="12"/>
      <c r="FJ120" s="12"/>
      <c r="FK120" s="12"/>
      <c r="FL120" s="12"/>
      <c r="FM120" s="12"/>
      <c r="FN120" s="12"/>
      <c r="FO120" s="12"/>
      <c r="FP120" s="25"/>
      <c r="FQ120" s="25"/>
      <c r="FR120" s="25"/>
      <c r="FS120" s="25"/>
      <c r="FT120" s="25"/>
      <c r="FU120" s="25"/>
      <c r="FV120" s="25"/>
      <c r="FW120" s="25"/>
      <c r="FX120" s="25"/>
      <c r="FY120" s="25"/>
      <c r="FZ120" s="25"/>
      <c r="GA120" s="25"/>
      <c r="GB120" s="25"/>
      <c r="GC120" s="25"/>
      <c r="GD120" s="25"/>
      <c r="GE120" s="25"/>
      <c r="GF120" s="25"/>
      <c r="GG120" s="25"/>
      <c r="GH120" s="25"/>
      <c r="GI120" s="25"/>
      <c r="GJ120" s="25"/>
      <c r="GK120" s="25"/>
      <c r="GL120" s="25"/>
      <c r="GM120" s="25"/>
      <c r="GN120" s="25"/>
      <c r="GO120" s="25"/>
      <c r="GP120" s="25"/>
      <c r="GQ120" s="25"/>
      <c r="GR120" s="25"/>
      <c r="GS120" s="25"/>
      <c r="GT120" s="25"/>
      <c r="GU120" s="25"/>
      <c r="GV120" s="25"/>
      <c r="GW120" s="25"/>
      <c r="GX120" s="25"/>
      <c r="GY120" s="25"/>
      <c r="GZ120" s="25"/>
      <c r="HA120" s="25"/>
      <c r="HB120" s="25"/>
      <c r="HC120" s="25"/>
      <c r="HD120" s="25"/>
      <c r="HE120" s="25"/>
      <c r="HF120" s="16"/>
      <c r="HG120" s="16"/>
      <c r="HH120" s="16"/>
      <c r="HI120" s="16"/>
      <c r="HJ120" s="16"/>
      <c r="HK120" s="16"/>
      <c r="HL120" s="16"/>
      <c r="HM120" s="51"/>
      <c r="HN120" s="51"/>
      <c r="HO120" s="51"/>
      <c r="HP120" s="51"/>
      <c r="HQ120" s="51"/>
      <c r="HR120" s="51"/>
      <c r="HS120"/>
      <c r="HT120"/>
      <c r="HU120"/>
      <c r="HV120"/>
    </row>
    <row r="121" spans="1:230" s="1" customForma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T121" s="32"/>
      <c r="U121" s="4"/>
      <c r="AN121" s="32"/>
      <c r="AO121" s="16"/>
      <c r="AP121" s="16"/>
      <c r="AQ121" s="16"/>
      <c r="AR121" s="32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32"/>
      <c r="BE121" s="16"/>
      <c r="BF121" s="16"/>
      <c r="BG121" s="16"/>
      <c r="BH121" s="32"/>
      <c r="BI121" s="32"/>
      <c r="BJ121" s="32"/>
      <c r="BK121" s="32"/>
      <c r="BL121" s="32"/>
      <c r="BM121" s="32"/>
      <c r="BN121" s="16"/>
      <c r="BO121" s="16"/>
      <c r="BP121" s="16"/>
      <c r="BQ121" s="16"/>
      <c r="BR121" s="16"/>
      <c r="BS121" s="16"/>
      <c r="BT121" s="16"/>
      <c r="BU121" s="16"/>
      <c r="BV121" s="56"/>
      <c r="BW121" s="16"/>
      <c r="BX121" s="16"/>
      <c r="BY121" s="16"/>
      <c r="BZ121" s="16"/>
      <c r="CA121" s="16"/>
      <c r="CB121" s="16"/>
      <c r="CC121" s="16"/>
      <c r="CD121" s="16"/>
      <c r="CE121" s="111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5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56"/>
      <c r="DZ121" s="56"/>
      <c r="EA121" s="56"/>
      <c r="EB121" s="56"/>
      <c r="EC121" s="56"/>
      <c r="ED121" s="56"/>
      <c r="EE121" s="56"/>
      <c r="EF121" s="56"/>
      <c r="EG121" s="56"/>
      <c r="EH121" s="56"/>
      <c r="EI121" s="56"/>
      <c r="EJ121" s="56"/>
      <c r="EK121" s="56"/>
      <c r="EL121" s="12"/>
      <c r="EM121" s="12"/>
      <c r="EN121" s="12"/>
      <c r="EO121" s="12"/>
      <c r="EP121" s="12"/>
      <c r="EQ121" s="12"/>
      <c r="ER121" s="12"/>
      <c r="ES121" s="12"/>
      <c r="ET121" s="12"/>
      <c r="EU121" s="12"/>
      <c r="EV121" s="12"/>
      <c r="EW121" s="12"/>
      <c r="EX121" s="12"/>
      <c r="EY121" s="12"/>
      <c r="EZ121" s="12"/>
      <c r="FA121" s="12"/>
      <c r="FB121" s="12"/>
      <c r="FC121" s="12"/>
      <c r="FD121" s="12"/>
      <c r="FE121" s="12"/>
      <c r="FF121" s="12"/>
      <c r="FG121" s="12"/>
      <c r="FH121" s="12"/>
      <c r="FI121" s="12"/>
      <c r="FJ121" s="12"/>
      <c r="FK121" s="12"/>
      <c r="FL121" s="12"/>
      <c r="FM121" s="12"/>
      <c r="FN121" s="12"/>
      <c r="FO121" s="12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  <c r="GO121" s="25"/>
      <c r="GP121" s="25"/>
      <c r="GQ121" s="25"/>
      <c r="GR121" s="25"/>
      <c r="GS121" s="25"/>
      <c r="GT121" s="25"/>
      <c r="GU121" s="25"/>
      <c r="GV121" s="25"/>
      <c r="GW121" s="25"/>
      <c r="GX121" s="25"/>
      <c r="GY121" s="25"/>
      <c r="GZ121" s="25"/>
      <c r="HA121" s="25"/>
      <c r="HB121" s="25"/>
      <c r="HC121" s="25"/>
      <c r="HD121" s="25"/>
      <c r="HE121" s="25"/>
      <c r="HF121" s="16"/>
      <c r="HG121" s="16"/>
      <c r="HH121" s="16"/>
      <c r="HI121" s="16"/>
      <c r="HJ121" s="16"/>
      <c r="HK121" s="16"/>
      <c r="HL121" s="16"/>
      <c r="HM121" s="51"/>
      <c r="HN121" s="51"/>
      <c r="HO121" s="51"/>
      <c r="HP121" s="51"/>
      <c r="HQ121" s="51"/>
      <c r="HR121" s="51"/>
      <c r="HS121"/>
      <c r="HT121"/>
      <c r="HU121"/>
      <c r="HV121"/>
    </row>
    <row r="122" spans="1:230" s="1" customForma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T122" s="32"/>
      <c r="U122" s="4"/>
      <c r="AN122" s="32"/>
      <c r="AO122" s="16"/>
      <c r="AP122" s="16"/>
      <c r="AQ122" s="16"/>
      <c r="AR122" s="32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32"/>
      <c r="BE122" s="16"/>
      <c r="BF122" s="16"/>
      <c r="BG122" s="16"/>
      <c r="BH122" s="32"/>
      <c r="BI122" s="32"/>
      <c r="BJ122" s="32"/>
      <c r="BK122" s="32"/>
      <c r="BL122" s="32"/>
      <c r="BM122" s="32"/>
      <c r="BN122" s="16"/>
      <c r="BO122" s="16"/>
      <c r="BP122" s="16"/>
      <c r="BQ122" s="16"/>
      <c r="BR122" s="16"/>
      <c r="BS122" s="16"/>
      <c r="BT122" s="16"/>
      <c r="BU122" s="16"/>
      <c r="BV122" s="56"/>
      <c r="BW122" s="16"/>
      <c r="BX122" s="16"/>
      <c r="BY122" s="16"/>
      <c r="BZ122" s="16"/>
      <c r="CA122" s="16"/>
      <c r="CB122" s="16"/>
      <c r="CC122" s="16"/>
      <c r="CD122" s="16"/>
      <c r="CE122" s="111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5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56"/>
      <c r="DZ122" s="56"/>
      <c r="EA122" s="56"/>
      <c r="EB122" s="56"/>
      <c r="EC122" s="56"/>
      <c r="ED122" s="56"/>
      <c r="EE122" s="56"/>
      <c r="EF122" s="56"/>
      <c r="EG122" s="56"/>
      <c r="EH122" s="56"/>
      <c r="EI122" s="56"/>
      <c r="EJ122" s="56"/>
      <c r="EK122" s="56"/>
      <c r="EL122" s="12"/>
      <c r="EM122" s="12"/>
      <c r="EN122" s="12"/>
      <c r="EO122" s="12"/>
      <c r="EP122" s="12"/>
      <c r="EQ122" s="12"/>
      <c r="ER122" s="12"/>
      <c r="ES122" s="12"/>
      <c r="ET122" s="12"/>
      <c r="EU122" s="12"/>
      <c r="EV122" s="12"/>
      <c r="EW122" s="12"/>
      <c r="EX122" s="12"/>
      <c r="EY122" s="12"/>
      <c r="EZ122" s="12"/>
      <c r="FA122" s="12"/>
      <c r="FB122" s="12"/>
      <c r="FC122" s="12"/>
      <c r="FD122" s="12"/>
      <c r="FE122" s="12"/>
      <c r="FF122" s="12"/>
      <c r="FG122" s="12"/>
      <c r="FH122" s="12"/>
      <c r="FI122" s="12"/>
      <c r="FJ122" s="12"/>
      <c r="FK122" s="12"/>
      <c r="FL122" s="12"/>
      <c r="FM122" s="12"/>
      <c r="FN122" s="12"/>
      <c r="FO122" s="12"/>
      <c r="FP122" s="25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25"/>
      <c r="GB122" s="25"/>
      <c r="GC122" s="25"/>
      <c r="GD122" s="25"/>
      <c r="GE122" s="25"/>
      <c r="GF122" s="25"/>
      <c r="GG122" s="25"/>
      <c r="GH122" s="25"/>
      <c r="GI122" s="25"/>
      <c r="GJ122" s="25"/>
      <c r="GK122" s="25"/>
      <c r="GL122" s="25"/>
      <c r="GM122" s="25"/>
      <c r="GN122" s="25"/>
      <c r="GO122" s="25"/>
      <c r="GP122" s="25"/>
      <c r="GQ122" s="25"/>
      <c r="GR122" s="25"/>
      <c r="GS122" s="25"/>
      <c r="GT122" s="25"/>
      <c r="GU122" s="25"/>
      <c r="GV122" s="25"/>
      <c r="GW122" s="25"/>
      <c r="GX122" s="25"/>
      <c r="GY122" s="25"/>
      <c r="GZ122" s="25"/>
      <c r="HA122" s="25"/>
      <c r="HB122" s="25"/>
      <c r="HC122" s="25"/>
      <c r="HD122" s="25"/>
      <c r="HE122" s="25"/>
      <c r="HF122" s="16"/>
      <c r="HG122" s="16"/>
      <c r="HH122" s="16"/>
      <c r="HI122" s="16"/>
      <c r="HJ122" s="16"/>
      <c r="HK122" s="16"/>
      <c r="HL122" s="16"/>
      <c r="HM122" s="51"/>
      <c r="HN122" s="51"/>
      <c r="HO122" s="51"/>
      <c r="HP122" s="51"/>
      <c r="HQ122" s="51"/>
      <c r="HR122" s="51"/>
      <c r="HS122"/>
      <c r="HT122"/>
      <c r="HU122"/>
      <c r="HV122"/>
    </row>
    <row r="123" spans="1:230" s="1" customForma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T123" s="32"/>
      <c r="U123" s="4"/>
      <c r="AN123" s="32"/>
      <c r="AO123" s="16"/>
      <c r="AP123" s="16"/>
      <c r="AQ123" s="16"/>
      <c r="AR123" s="32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32"/>
      <c r="BE123" s="16"/>
      <c r="BF123" s="16"/>
      <c r="BG123" s="16"/>
      <c r="BH123" s="32"/>
      <c r="BI123" s="32"/>
      <c r="BJ123" s="32"/>
      <c r="BK123" s="32"/>
      <c r="BL123" s="32"/>
      <c r="BM123" s="32"/>
      <c r="BN123" s="16"/>
      <c r="BO123" s="16"/>
      <c r="BP123" s="16"/>
      <c r="BQ123" s="16"/>
      <c r="BR123" s="16"/>
      <c r="BS123" s="16"/>
      <c r="BT123" s="16"/>
      <c r="BU123" s="16"/>
      <c r="BV123" s="56"/>
      <c r="BW123" s="16"/>
      <c r="BX123" s="16"/>
      <c r="BY123" s="16"/>
      <c r="BZ123" s="16"/>
      <c r="CA123" s="16"/>
      <c r="CB123" s="16"/>
      <c r="CC123" s="16"/>
      <c r="CD123" s="16"/>
      <c r="CE123" s="111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5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56"/>
      <c r="DZ123" s="56"/>
      <c r="EA123" s="56"/>
      <c r="EB123" s="56"/>
      <c r="EC123" s="56"/>
      <c r="ED123" s="56"/>
      <c r="EE123" s="56"/>
      <c r="EF123" s="56"/>
      <c r="EG123" s="56"/>
      <c r="EH123" s="56"/>
      <c r="EI123" s="56"/>
      <c r="EJ123" s="56"/>
      <c r="EK123" s="56"/>
      <c r="EL123" s="12"/>
      <c r="EM123" s="12"/>
      <c r="EN123" s="12"/>
      <c r="EO123" s="12"/>
      <c r="EP123" s="12"/>
      <c r="EQ123" s="12"/>
      <c r="ER123" s="12"/>
      <c r="ES123" s="12"/>
      <c r="ET123" s="12"/>
      <c r="EU123" s="12"/>
      <c r="EV123" s="12"/>
      <c r="EW123" s="12"/>
      <c r="EX123" s="12"/>
      <c r="EY123" s="12"/>
      <c r="EZ123" s="12"/>
      <c r="FA123" s="12"/>
      <c r="FB123" s="12"/>
      <c r="FC123" s="12"/>
      <c r="FD123" s="12"/>
      <c r="FE123" s="12"/>
      <c r="FF123" s="12"/>
      <c r="FG123" s="12"/>
      <c r="FH123" s="12"/>
      <c r="FI123" s="12"/>
      <c r="FJ123" s="12"/>
      <c r="FK123" s="12"/>
      <c r="FL123" s="12"/>
      <c r="FM123" s="12"/>
      <c r="FN123" s="12"/>
      <c r="FO123" s="12"/>
      <c r="FP123" s="25"/>
      <c r="FQ123" s="25"/>
      <c r="FR123" s="25"/>
      <c r="FS123" s="25"/>
      <c r="FT123" s="25"/>
      <c r="FU123" s="25"/>
      <c r="FV123" s="25"/>
      <c r="FW123" s="25"/>
      <c r="FX123" s="25"/>
      <c r="FY123" s="25"/>
      <c r="FZ123" s="25"/>
      <c r="GA123" s="25"/>
      <c r="GB123" s="25"/>
      <c r="GC123" s="25"/>
      <c r="GD123" s="25"/>
      <c r="GE123" s="25"/>
      <c r="GF123" s="25"/>
      <c r="GG123" s="25"/>
      <c r="GH123" s="25"/>
      <c r="GI123" s="25"/>
      <c r="GJ123" s="25"/>
      <c r="GK123" s="25"/>
      <c r="GL123" s="25"/>
      <c r="GM123" s="25"/>
      <c r="GN123" s="25"/>
      <c r="GO123" s="25"/>
      <c r="GP123" s="25"/>
      <c r="GQ123" s="25"/>
      <c r="GR123" s="25"/>
      <c r="GS123" s="25"/>
      <c r="GT123" s="25"/>
      <c r="GU123" s="25"/>
      <c r="GV123" s="25"/>
      <c r="GW123" s="25"/>
      <c r="GX123" s="25"/>
      <c r="GY123" s="25"/>
      <c r="GZ123" s="25"/>
      <c r="HA123" s="25"/>
      <c r="HB123" s="25"/>
      <c r="HC123" s="25"/>
      <c r="HD123" s="25"/>
      <c r="HE123" s="25"/>
      <c r="HF123" s="16"/>
      <c r="HG123" s="16"/>
      <c r="HH123" s="16"/>
      <c r="HI123" s="16"/>
      <c r="HJ123" s="16"/>
      <c r="HK123" s="16"/>
      <c r="HL123" s="16"/>
      <c r="HM123" s="51"/>
      <c r="HN123" s="51"/>
      <c r="HO123" s="51"/>
      <c r="HP123" s="51"/>
      <c r="HQ123" s="51"/>
      <c r="HR123" s="51"/>
      <c r="HS123"/>
      <c r="HT123"/>
      <c r="HU123"/>
      <c r="HV123"/>
    </row>
    <row r="124" spans="1:230" s="1" customForma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T124" s="32"/>
      <c r="U124" s="4"/>
      <c r="AN124" s="32"/>
      <c r="AO124" s="16"/>
      <c r="AP124" s="16"/>
      <c r="AQ124" s="16"/>
      <c r="AR124" s="32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32"/>
      <c r="BE124" s="16"/>
      <c r="BF124" s="16"/>
      <c r="BG124" s="16"/>
      <c r="BH124" s="32"/>
      <c r="BI124" s="32"/>
      <c r="BJ124" s="32"/>
      <c r="BK124" s="32"/>
      <c r="BL124" s="32"/>
      <c r="BM124" s="32"/>
      <c r="BN124" s="16"/>
      <c r="BO124" s="16"/>
      <c r="BP124" s="16"/>
      <c r="BQ124" s="16"/>
      <c r="BR124" s="16"/>
      <c r="BS124" s="16"/>
      <c r="BT124" s="16"/>
      <c r="BU124" s="16"/>
      <c r="BV124" s="56"/>
      <c r="BW124" s="16"/>
      <c r="BX124" s="16"/>
      <c r="BY124" s="16"/>
      <c r="BZ124" s="16"/>
      <c r="CA124" s="16"/>
      <c r="CB124" s="16"/>
      <c r="CC124" s="16"/>
      <c r="CD124" s="16"/>
      <c r="CE124" s="111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5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56"/>
      <c r="DZ124" s="56"/>
      <c r="EA124" s="56"/>
      <c r="EB124" s="56"/>
      <c r="EC124" s="56"/>
      <c r="ED124" s="56"/>
      <c r="EE124" s="56"/>
      <c r="EF124" s="56"/>
      <c r="EG124" s="56"/>
      <c r="EH124" s="56"/>
      <c r="EI124" s="56"/>
      <c r="EJ124" s="56"/>
      <c r="EK124" s="56"/>
      <c r="EL124" s="12"/>
      <c r="EM124" s="12"/>
      <c r="EN124" s="12"/>
      <c r="EO124" s="12"/>
      <c r="EP124" s="12"/>
      <c r="EQ124" s="12"/>
      <c r="ER124" s="12"/>
      <c r="ES124" s="12"/>
      <c r="ET124" s="12"/>
      <c r="EU124" s="12"/>
      <c r="EV124" s="12"/>
      <c r="EW124" s="12"/>
      <c r="EX124" s="12"/>
      <c r="EY124" s="12"/>
      <c r="EZ124" s="12"/>
      <c r="FA124" s="12"/>
      <c r="FB124" s="12"/>
      <c r="FC124" s="12"/>
      <c r="FD124" s="12"/>
      <c r="FE124" s="12"/>
      <c r="FF124" s="12"/>
      <c r="FG124" s="12"/>
      <c r="FH124" s="12"/>
      <c r="FI124" s="12"/>
      <c r="FJ124" s="12"/>
      <c r="FK124" s="12"/>
      <c r="FL124" s="12"/>
      <c r="FM124" s="12"/>
      <c r="FN124" s="12"/>
      <c r="FO124" s="12"/>
      <c r="FP124" s="25"/>
      <c r="FQ124" s="25"/>
      <c r="FR124" s="25"/>
      <c r="FS124" s="25"/>
      <c r="FT124" s="25"/>
      <c r="FU124" s="25"/>
      <c r="FV124" s="25"/>
      <c r="FW124" s="25"/>
      <c r="FX124" s="25"/>
      <c r="FY124" s="25"/>
      <c r="FZ124" s="25"/>
      <c r="GA124" s="25"/>
      <c r="GB124" s="25"/>
      <c r="GC124" s="25"/>
      <c r="GD124" s="25"/>
      <c r="GE124" s="25"/>
      <c r="GF124" s="25"/>
      <c r="GG124" s="25"/>
      <c r="GH124" s="25"/>
      <c r="GI124" s="25"/>
      <c r="GJ124" s="25"/>
      <c r="GK124" s="25"/>
      <c r="GL124" s="25"/>
      <c r="GM124" s="25"/>
      <c r="GN124" s="25"/>
      <c r="GO124" s="25"/>
      <c r="GP124" s="25"/>
      <c r="GQ124" s="25"/>
      <c r="GR124" s="25"/>
      <c r="GS124" s="25"/>
      <c r="GT124" s="25"/>
      <c r="GU124" s="25"/>
      <c r="GV124" s="25"/>
      <c r="GW124" s="25"/>
      <c r="GX124" s="25"/>
      <c r="GY124" s="25"/>
      <c r="GZ124" s="25"/>
      <c r="HA124" s="25"/>
      <c r="HB124" s="25"/>
      <c r="HC124" s="25"/>
      <c r="HD124" s="25"/>
      <c r="HE124" s="25"/>
      <c r="HF124" s="16"/>
      <c r="HG124" s="16"/>
      <c r="HH124" s="16"/>
      <c r="HI124" s="16"/>
      <c r="HJ124" s="16"/>
      <c r="HK124" s="16"/>
      <c r="HL124" s="16"/>
      <c r="HM124" s="51"/>
      <c r="HN124" s="51"/>
      <c r="HO124" s="51"/>
      <c r="HP124" s="51"/>
      <c r="HQ124" s="51"/>
      <c r="HR124" s="51"/>
      <c r="HS124"/>
      <c r="HT124"/>
      <c r="HU124"/>
      <c r="HV124"/>
    </row>
  </sheetData>
  <pageMargins left="0.7" right="0.7" top="0.75" bottom="0.75" header="0.3" footer="0.3"/>
  <pageSetup orientation="portrait" horizontalDpi="300" verticalDpi="300" r:id="rId1"/>
  <ignoredErrors>
    <ignoredError sqref="CP1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N10" sqref="N10"/>
    </sheetView>
  </sheetViews>
  <sheetFormatPr defaultRowHeight="14.5" x14ac:dyDescent="0.35"/>
  <sheetData>
    <row r="1" spans="1:15" x14ac:dyDescent="0.35">
      <c r="A1" s="2" t="s">
        <v>0</v>
      </c>
      <c r="B1" s="106">
        <v>15</v>
      </c>
      <c r="C1" s="106">
        <v>20</v>
      </c>
      <c r="D1" s="106">
        <v>25</v>
      </c>
      <c r="E1" s="106">
        <v>30</v>
      </c>
      <c r="F1" s="106">
        <v>35</v>
      </c>
      <c r="H1" t="s">
        <v>123</v>
      </c>
      <c r="I1" t="s">
        <v>163</v>
      </c>
      <c r="N1" t="s">
        <v>310</v>
      </c>
      <c r="O1" t="s">
        <v>311</v>
      </c>
    </row>
    <row r="2" spans="1:15" x14ac:dyDescent="0.35">
      <c r="A2">
        <v>1</v>
      </c>
      <c r="B2">
        <v>5</v>
      </c>
      <c r="C2">
        <v>5</v>
      </c>
      <c r="D2">
        <v>5</v>
      </c>
      <c r="E2">
        <v>5</v>
      </c>
      <c r="F2">
        <v>5</v>
      </c>
      <c r="H2" s="54">
        <f>AVERAGE(B2:F2)</f>
        <v>5</v>
      </c>
      <c r="I2" s="54">
        <f>STDEV(B2:F2)</f>
        <v>0</v>
      </c>
      <c r="M2">
        <v>15</v>
      </c>
      <c r="N2">
        <v>3</v>
      </c>
      <c r="O2">
        <v>91</v>
      </c>
    </row>
    <row r="3" spans="1:15" x14ac:dyDescent="0.35">
      <c r="A3">
        <v>2</v>
      </c>
      <c r="B3">
        <v>5</v>
      </c>
      <c r="C3">
        <v>5</v>
      </c>
      <c r="D3">
        <v>5</v>
      </c>
      <c r="E3">
        <v>5</v>
      </c>
      <c r="F3">
        <v>5</v>
      </c>
      <c r="H3" s="54">
        <f t="shared" ref="H3:H16" si="0">AVERAGE(B3:F3)</f>
        <v>5</v>
      </c>
      <c r="I3" s="54">
        <f t="shared" ref="I3:I16" si="1">STDEV(B3:F3)</f>
        <v>0</v>
      </c>
      <c r="M3">
        <v>20</v>
      </c>
      <c r="N3">
        <v>2</v>
      </c>
      <c r="O3">
        <v>90</v>
      </c>
    </row>
    <row r="4" spans="1:15" x14ac:dyDescent="0.35">
      <c r="A4">
        <v>3</v>
      </c>
      <c r="B4">
        <v>3</v>
      </c>
      <c r="C4">
        <v>-2</v>
      </c>
      <c r="D4">
        <v>1</v>
      </c>
      <c r="E4">
        <v>2</v>
      </c>
      <c r="F4">
        <v>4</v>
      </c>
      <c r="H4" s="54">
        <f t="shared" si="0"/>
        <v>1.6</v>
      </c>
      <c r="I4" s="54">
        <f t="shared" si="1"/>
        <v>2.3021728866442674</v>
      </c>
      <c r="M4">
        <v>25</v>
      </c>
      <c r="N4">
        <v>2</v>
      </c>
      <c r="O4">
        <v>90</v>
      </c>
    </row>
    <row r="5" spans="1:15" x14ac:dyDescent="0.35">
      <c r="A5">
        <v>4</v>
      </c>
      <c r="B5">
        <v>4</v>
      </c>
      <c r="C5">
        <v>3</v>
      </c>
      <c r="D5">
        <v>3</v>
      </c>
      <c r="E5">
        <v>2</v>
      </c>
      <c r="F5">
        <v>4</v>
      </c>
      <c r="H5" s="54">
        <f t="shared" si="0"/>
        <v>3.2</v>
      </c>
      <c r="I5" s="54">
        <f t="shared" si="1"/>
        <v>0.83666002653407512</v>
      </c>
      <c r="M5">
        <v>30</v>
      </c>
      <c r="N5">
        <v>2</v>
      </c>
      <c r="O5">
        <v>85</v>
      </c>
    </row>
    <row r="6" spans="1:15" x14ac:dyDescent="0.35">
      <c r="A6">
        <v>5</v>
      </c>
      <c r="B6">
        <v>3</v>
      </c>
      <c r="C6">
        <v>3</v>
      </c>
      <c r="D6">
        <v>3</v>
      </c>
      <c r="E6">
        <v>3</v>
      </c>
      <c r="F6">
        <v>3</v>
      </c>
      <c r="H6" s="54">
        <f t="shared" si="0"/>
        <v>3</v>
      </c>
      <c r="I6" s="54">
        <f t="shared" si="1"/>
        <v>0</v>
      </c>
      <c r="M6">
        <v>35</v>
      </c>
      <c r="N6">
        <v>3</v>
      </c>
      <c r="O6">
        <v>85</v>
      </c>
    </row>
    <row r="7" spans="1:15" x14ac:dyDescent="0.35">
      <c r="A7">
        <v>6</v>
      </c>
      <c r="B7">
        <v>5</v>
      </c>
      <c r="C7">
        <v>5</v>
      </c>
      <c r="D7">
        <v>5</v>
      </c>
      <c r="E7">
        <v>5</v>
      </c>
      <c r="F7">
        <v>5</v>
      </c>
      <c r="H7" s="54">
        <f t="shared" si="0"/>
        <v>5</v>
      </c>
      <c r="I7" s="54">
        <f t="shared" si="1"/>
        <v>0</v>
      </c>
      <c r="N7" t="s">
        <v>312</v>
      </c>
    </row>
    <row r="8" spans="1:15" x14ac:dyDescent="0.35">
      <c r="A8">
        <v>7</v>
      </c>
      <c r="B8">
        <v>0</v>
      </c>
      <c r="C8">
        <v>0</v>
      </c>
      <c r="D8">
        <v>0</v>
      </c>
      <c r="E8">
        <v>0</v>
      </c>
      <c r="F8">
        <v>0</v>
      </c>
      <c r="H8" s="54">
        <f t="shared" si="0"/>
        <v>0</v>
      </c>
      <c r="I8" s="54">
        <f t="shared" si="1"/>
        <v>0</v>
      </c>
      <c r="N8">
        <f>PEARSON(N2:N6,O2:O6)</f>
        <v>-6.1898446059017287E-2</v>
      </c>
    </row>
    <row r="9" spans="1:15" x14ac:dyDescent="0.35">
      <c r="A9">
        <v>8</v>
      </c>
      <c r="B9">
        <v>0</v>
      </c>
      <c r="C9">
        <v>0</v>
      </c>
      <c r="D9">
        <v>0</v>
      </c>
      <c r="E9">
        <v>0</v>
      </c>
      <c r="F9">
        <v>0</v>
      </c>
      <c r="H9" s="54">
        <f t="shared" si="0"/>
        <v>0</v>
      </c>
      <c r="I9" s="54">
        <f t="shared" si="1"/>
        <v>0</v>
      </c>
      <c r="N9" t="s">
        <v>313</v>
      </c>
    </row>
    <row r="10" spans="1:15" x14ac:dyDescent="0.35">
      <c r="A10">
        <v>9</v>
      </c>
      <c r="B10">
        <v>4</v>
      </c>
      <c r="C10">
        <v>3</v>
      </c>
      <c r="D10">
        <v>3</v>
      </c>
      <c r="E10">
        <v>4</v>
      </c>
      <c r="F10">
        <v>3</v>
      </c>
      <c r="H10" s="54">
        <f t="shared" si="0"/>
        <v>3.4</v>
      </c>
      <c r="I10" s="54">
        <f t="shared" si="1"/>
        <v>0.54772255750516674</v>
      </c>
    </row>
    <row r="11" spans="1:15" x14ac:dyDescent="0.35">
      <c r="A11">
        <v>10</v>
      </c>
      <c r="B11">
        <v>5</v>
      </c>
      <c r="C11">
        <v>5</v>
      </c>
      <c r="D11">
        <v>5</v>
      </c>
      <c r="E11">
        <v>5</v>
      </c>
      <c r="F11">
        <v>5</v>
      </c>
      <c r="H11" s="54">
        <f t="shared" si="0"/>
        <v>5</v>
      </c>
      <c r="I11" s="54">
        <f t="shared" si="1"/>
        <v>0</v>
      </c>
    </row>
    <row r="12" spans="1:15" x14ac:dyDescent="0.35">
      <c r="A12">
        <v>11</v>
      </c>
      <c r="B12">
        <v>-2</v>
      </c>
      <c r="C12">
        <v>-2</v>
      </c>
      <c r="D12">
        <v>-2</v>
      </c>
      <c r="E12">
        <v>-2</v>
      </c>
      <c r="F12">
        <v>-2</v>
      </c>
      <c r="H12" s="54">
        <f t="shared" si="0"/>
        <v>-2</v>
      </c>
      <c r="I12" s="54">
        <f t="shared" si="1"/>
        <v>0</v>
      </c>
    </row>
    <row r="13" spans="1:15" x14ac:dyDescent="0.35">
      <c r="A13">
        <v>12</v>
      </c>
      <c r="B13">
        <v>1</v>
      </c>
      <c r="C13">
        <v>1</v>
      </c>
      <c r="D13">
        <v>1</v>
      </c>
      <c r="E13">
        <v>1</v>
      </c>
      <c r="F13">
        <v>1</v>
      </c>
      <c r="H13" s="54">
        <f t="shared" si="0"/>
        <v>1</v>
      </c>
      <c r="I13" s="54">
        <f t="shared" si="1"/>
        <v>0</v>
      </c>
    </row>
    <row r="14" spans="1:15" x14ac:dyDescent="0.35">
      <c r="A14">
        <v>13</v>
      </c>
      <c r="B14">
        <v>4</v>
      </c>
      <c r="C14">
        <v>4</v>
      </c>
      <c r="D14">
        <v>4</v>
      </c>
      <c r="E14">
        <v>4</v>
      </c>
      <c r="F14">
        <v>4</v>
      </c>
      <c r="H14" s="54">
        <f t="shared" si="0"/>
        <v>4</v>
      </c>
      <c r="I14" s="54">
        <f t="shared" si="1"/>
        <v>0</v>
      </c>
    </row>
    <row r="15" spans="1:15" x14ac:dyDescent="0.35">
      <c r="A15">
        <v>14</v>
      </c>
      <c r="B15">
        <v>-1</v>
      </c>
      <c r="C15">
        <v>3</v>
      </c>
      <c r="D15">
        <v>3</v>
      </c>
      <c r="E15">
        <v>4</v>
      </c>
      <c r="F15">
        <v>-1</v>
      </c>
      <c r="H15" s="54">
        <f t="shared" si="0"/>
        <v>1.6</v>
      </c>
      <c r="I15" s="54">
        <f t="shared" si="1"/>
        <v>2.4083189157584592</v>
      </c>
    </row>
    <row r="16" spans="1:15" x14ac:dyDescent="0.35">
      <c r="A16">
        <v>15</v>
      </c>
      <c r="B16">
        <v>5</v>
      </c>
      <c r="C16">
        <v>4</v>
      </c>
      <c r="D16">
        <v>0</v>
      </c>
      <c r="E16">
        <v>-2</v>
      </c>
      <c r="F16">
        <v>4</v>
      </c>
      <c r="H16" s="54">
        <f t="shared" si="0"/>
        <v>2.2000000000000002</v>
      </c>
      <c r="I16" s="54">
        <f t="shared" si="1"/>
        <v>3.03315017762062</v>
      </c>
    </row>
    <row r="18" spans="2:9" x14ac:dyDescent="0.35">
      <c r="B18" s="38">
        <f>AVERAGE(B2:B16)</f>
        <v>2.7333333333333334</v>
      </c>
      <c r="C18" s="38">
        <f t="shared" ref="C18:F18" si="2">AVERAGE(C2:C16)</f>
        <v>2.4666666666666668</v>
      </c>
      <c r="D18" s="38">
        <f t="shared" si="2"/>
        <v>2.4</v>
      </c>
      <c r="E18" s="38">
        <f t="shared" si="2"/>
        <v>2.4</v>
      </c>
      <c r="F18" s="38">
        <f t="shared" si="2"/>
        <v>2.6666666666666665</v>
      </c>
      <c r="G18" s="113">
        <f>AVERAGE(A18:E18)</f>
        <v>2.5</v>
      </c>
      <c r="H18" s="54">
        <f>AVERAGE(H2:H16)</f>
        <v>2.5333333333333337</v>
      </c>
      <c r="I18" s="54">
        <f>AVERAGE(I2:I16)</f>
        <v>0.60853497093750586</v>
      </c>
    </row>
    <row r="19" spans="2:9" x14ac:dyDescent="0.35">
      <c r="B19" s="38">
        <f>STDEV(B2:B16)</f>
        <v>2.4630604269214889</v>
      </c>
      <c r="C19" s="38">
        <f t="shared" ref="C19:F19" si="3">STDEV(C2:C16)</f>
        <v>2.4746332099544621</v>
      </c>
      <c r="D19" s="38">
        <f t="shared" si="3"/>
        <v>2.2614786566062732</v>
      </c>
      <c r="E19" s="38">
        <f t="shared" si="3"/>
        <v>2.5014281634983759</v>
      </c>
      <c r="F19" s="38">
        <f t="shared" si="3"/>
        <v>2.410295378065479</v>
      </c>
      <c r="G19" s="113">
        <f>AVERAGE(A19:E19)</f>
        <v>2.4251501142451501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B20" sqref="B20"/>
    </sheetView>
  </sheetViews>
  <sheetFormatPr defaultRowHeight="14.5" x14ac:dyDescent="0.35"/>
  <sheetData>
    <row r="1" spans="1:10" x14ac:dyDescent="0.35">
      <c r="A1" s="2" t="s">
        <v>0</v>
      </c>
      <c r="B1" s="106">
        <v>15</v>
      </c>
      <c r="C1" s="106">
        <v>20</v>
      </c>
      <c r="D1" s="106">
        <v>25</v>
      </c>
      <c r="E1" s="106">
        <v>30</v>
      </c>
      <c r="F1" s="106">
        <v>35</v>
      </c>
    </row>
    <row r="2" spans="1:10" x14ac:dyDescent="0.35">
      <c r="A2">
        <v>1</v>
      </c>
      <c r="B2">
        <v>5</v>
      </c>
      <c r="C2">
        <v>5</v>
      </c>
      <c r="D2">
        <v>5</v>
      </c>
      <c r="E2">
        <v>5</v>
      </c>
      <c r="F2">
        <v>5</v>
      </c>
    </row>
    <row r="3" spans="1:10" x14ac:dyDescent="0.35">
      <c r="A3">
        <v>2</v>
      </c>
      <c r="B3">
        <v>5</v>
      </c>
      <c r="C3">
        <v>5</v>
      </c>
      <c r="D3">
        <v>5</v>
      </c>
      <c r="E3">
        <v>5</v>
      </c>
      <c r="F3">
        <v>5</v>
      </c>
    </row>
    <row r="4" spans="1:10" x14ac:dyDescent="0.35">
      <c r="A4">
        <v>3</v>
      </c>
      <c r="B4">
        <v>3</v>
      </c>
      <c r="C4">
        <v>-2</v>
      </c>
      <c r="D4">
        <v>1</v>
      </c>
      <c r="E4">
        <v>2</v>
      </c>
      <c r="F4">
        <v>4</v>
      </c>
    </row>
    <row r="5" spans="1:10" x14ac:dyDescent="0.35">
      <c r="A5">
        <v>4</v>
      </c>
      <c r="B5">
        <v>4</v>
      </c>
      <c r="C5">
        <v>4</v>
      </c>
      <c r="D5">
        <v>3</v>
      </c>
      <c r="E5">
        <v>3</v>
      </c>
      <c r="F5">
        <v>4</v>
      </c>
      <c r="G5">
        <v>1</v>
      </c>
      <c r="H5">
        <v>3</v>
      </c>
      <c r="I5">
        <v>3</v>
      </c>
      <c r="J5">
        <v>4</v>
      </c>
    </row>
    <row r="6" spans="1:10" x14ac:dyDescent="0.35">
      <c r="A6">
        <v>5</v>
      </c>
      <c r="B6">
        <v>3</v>
      </c>
      <c r="C6">
        <v>3</v>
      </c>
      <c r="D6">
        <v>3</v>
      </c>
      <c r="E6">
        <v>3</v>
      </c>
      <c r="F6">
        <v>3</v>
      </c>
    </row>
    <row r="7" spans="1:10" x14ac:dyDescent="0.35">
      <c r="A7">
        <v>6</v>
      </c>
      <c r="B7">
        <v>5</v>
      </c>
      <c r="C7">
        <v>5</v>
      </c>
      <c r="D7">
        <v>5</v>
      </c>
      <c r="E7">
        <v>5</v>
      </c>
      <c r="F7">
        <v>5</v>
      </c>
    </row>
    <row r="8" spans="1:10" x14ac:dyDescent="0.35">
      <c r="A8">
        <v>7</v>
      </c>
    </row>
    <row r="9" spans="1:10" x14ac:dyDescent="0.35">
      <c r="A9">
        <v>8</v>
      </c>
      <c r="B9">
        <v>0</v>
      </c>
      <c r="C9">
        <v>0</v>
      </c>
      <c r="D9">
        <v>0</v>
      </c>
      <c r="E9">
        <v>0</v>
      </c>
      <c r="F9">
        <v>0</v>
      </c>
    </row>
    <row r="10" spans="1:10" x14ac:dyDescent="0.35">
      <c r="A10">
        <v>9</v>
      </c>
      <c r="B10">
        <v>4</v>
      </c>
      <c r="C10">
        <v>4</v>
      </c>
      <c r="D10">
        <v>3</v>
      </c>
      <c r="E10">
        <v>3</v>
      </c>
      <c r="F10">
        <v>4</v>
      </c>
      <c r="G10">
        <v>3</v>
      </c>
    </row>
    <row r="11" spans="1:10" x14ac:dyDescent="0.35">
      <c r="A11">
        <v>10</v>
      </c>
      <c r="B11">
        <v>5</v>
      </c>
      <c r="C11">
        <v>5</v>
      </c>
      <c r="D11">
        <v>5</v>
      </c>
      <c r="E11">
        <v>5</v>
      </c>
      <c r="F11">
        <v>5</v>
      </c>
    </row>
    <row r="12" spans="1:10" x14ac:dyDescent="0.35">
      <c r="A12">
        <v>11</v>
      </c>
      <c r="B12">
        <v>-2</v>
      </c>
      <c r="C12">
        <v>-2</v>
      </c>
      <c r="D12">
        <v>-2</v>
      </c>
      <c r="E12">
        <v>-2</v>
      </c>
      <c r="F12">
        <v>-2</v>
      </c>
    </row>
    <row r="13" spans="1:10" x14ac:dyDescent="0.35">
      <c r="A13">
        <v>12</v>
      </c>
      <c r="B13">
        <v>1</v>
      </c>
      <c r="C13">
        <v>1</v>
      </c>
      <c r="D13">
        <v>1</v>
      </c>
      <c r="E13">
        <v>1</v>
      </c>
      <c r="F13">
        <v>1</v>
      </c>
    </row>
    <row r="14" spans="1:10" x14ac:dyDescent="0.35">
      <c r="A14">
        <v>13</v>
      </c>
      <c r="B14">
        <v>4</v>
      </c>
      <c r="C14">
        <v>4</v>
      </c>
      <c r="D14">
        <v>4</v>
      </c>
      <c r="E14">
        <v>4</v>
      </c>
      <c r="F14">
        <v>4</v>
      </c>
    </row>
    <row r="15" spans="1:10" x14ac:dyDescent="0.35">
      <c r="A15">
        <v>14</v>
      </c>
      <c r="B15">
        <v>-1</v>
      </c>
      <c r="C15">
        <v>4</v>
      </c>
      <c r="D15">
        <v>3</v>
      </c>
      <c r="E15">
        <v>3</v>
      </c>
      <c r="F15">
        <v>4</v>
      </c>
      <c r="G15">
        <v>4</v>
      </c>
      <c r="H15">
        <v>-1</v>
      </c>
    </row>
    <row r="16" spans="1:10" x14ac:dyDescent="0.35">
      <c r="A16">
        <v>15</v>
      </c>
      <c r="B16">
        <v>5</v>
      </c>
      <c r="C16">
        <v>4</v>
      </c>
      <c r="D16">
        <v>4</v>
      </c>
      <c r="E16">
        <v>0</v>
      </c>
      <c r="F16">
        <v>-2</v>
      </c>
      <c r="G16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26" workbookViewId="0">
      <selection activeCell="C30" sqref="C30:J36"/>
    </sheetView>
  </sheetViews>
  <sheetFormatPr defaultRowHeight="14.5" x14ac:dyDescent="0.35"/>
  <sheetData>
    <row r="1" spans="1:17" ht="78.5" x14ac:dyDescent="0.35">
      <c r="B1" s="3" t="s">
        <v>1</v>
      </c>
      <c r="C1" s="30" t="s">
        <v>134</v>
      </c>
      <c r="D1" s="3" t="s">
        <v>2</v>
      </c>
      <c r="E1" s="3" t="s">
        <v>4</v>
      </c>
      <c r="F1" s="2" t="s">
        <v>31</v>
      </c>
      <c r="G1" s="2" t="s">
        <v>164</v>
      </c>
      <c r="H1" s="2" t="s">
        <v>165</v>
      </c>
      <c r="I1" s="2" t="s">
        <v>166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127</v>
      </c>
      <c r="P1" s="3" t="s">
        <v>93</v>
      </c>
      <c r="Q1" s="3" t="s">
        <v>129</v>
      </c>
    </row>
    <row r="2" spans="1:17" x14ac:dyDescent="0.35">
      <c r="B2" s="1">
        <v>13.73</v>
      </c>
      <c r="C2" s="31">
        <f>B2*110%</f>
        <v>15.103000000000002</v>
      </c>
      <c r="D2" s="1">
        <v>11.25</v>
      </c>
      <c r="E2" s="1">
        <v>11.89</v>
      </c>
      <c r="F2">
        <v>16.690000000000001</v>
      </c>
      <c r="G2" s="42">
        <v>1.0582665695557174</v>
      </c>
      <c r="H2" s="42">
        <v>1.2155863073561544</v>
      </c>
      <c r="I2" s="42">
        <v>0.97159504734158775</v>
      </c>
      <c r="K2" s="1">
        <v>65</v>
      </c>
      <c r="L2" s="1">
        <v>106</v>
      </c>
      <c r="M2" s="1">
        <v>115</v>
      </c>
      <c r="N2" s="1">
        <v>154</v>
      </c>
      <c r="O2" s="42">
        <v>0.76948051948051943</v>
      </c>
      <c r="P2" s="42">
        <v>1.0584415584415585</v>
      </c>
      <c r="Q2" s="42">
        <v>0.8441558441558441</v>
      </c>
    </row>
    <row r="3" spans="1:17" x14ac:dyDescent="0.35">
      <c r="B3" s="1">
        <v>14.08</v>
      </c>
      <c r="C3" s="31">
        <f t="shared" ref="C3:C9" si="0">B3*110%</f>
        <v>15.488000000000001</v>
      </c>
      <c r="D3" s="1">
        <v>7.34</v>
      </c>
      <c r="E3" s="1">
        <v>12.19</v>
      </c>
      <c r="F3">
        <v>13.91</v>
      </c>
      <c r="G3" s="42">
        <v>0.74254261363636365</v>
      </c>
      <c r="H3" s="42">
        <v>0.98792613636363635</v>
      </c>
      <c r="I3" s="42">
        <v>0.76988636363636365</v>
      </c>
      <c r="K3" s="1">
        <v>66</v>
      </c>
      <c r="L3" s="1">
        <v>75</v>
      </c>
      <c r="M3" s="1">
        <v>81</v>
      </c>
      <c r="N3" s="1">
        <v>86</v>
      </c>
      <c r="O3" s="42">
        <v>0.9941860465116279</v>
      </c>
      <c r="P3" s="42">
        <v>1.0930232558139534</v>
      </c>
      <c r="Q3" s="42">
        <v>1.0348837209302326</v>
      </c>
    </row>
    <row r="4" spans="1:17" x14ac:dyDescent="0.35">
      <c r="B4" s="1">
        <v>9.65</v>
      </c>
      <c r="C4" s="31">
        <f t="shared" si="0"/>
        <v>10.615000000000002</v>
      </c>
      <c r="D4" s="1">
        <v>6.43</v>
      </c>
      <c r="E4" s="21" t="s">
        <v>96</v>
      </c>
      <c r="F4">
        <v>10.97</v>
      </c>
      <c r="G4" s="42">
        <v>0.92746113989637291</v>
      </c>
      <c r="H4" s="42">
        <v>1.1367875647668395</v>
      </c>
      <c r="I4" s="42">
        <v>0.877720207253886</v>
      </c>
      <c r="K4" s="1">
        <v>76</v>
      </c>
      <c r="L4" s="1">
        <v>81</v>
      </c>
      <c r="M4" s="21" t="s">
        <v>96</v>
      </c>
      <c r="N4" s="1">
        <v>112</v>
      </c>
      <c r="O4" s="42">
        <v>0.6964285714285714</v>
      </c>
      <c r="P4" s="42">
        <v>0.8571428571428571</v>
      </c>
      <c r="Q4" s="42">
        <v>0.7589285714285714</v>
      </c>
    </row>
    <row r="5" spans="1:17" x14ac:dyDescent="0.35">
      <c r="B5" s="1">
        <v>9.69</v>
      </c>
      <c r="C5" s="31">
        <f t="shared" si="0"/>
        <v>10.659000000000001</v>
      </c>
      <c r="D5" s="5">
        <v>6.3381858902575585</v>
      </c>
      <c r="E5" s="1">
        <v>7.1</v>
      </c>
      <c r="F5">
        <v>10.75</v>
      </c>
      <c r="G5" s="42">
        <v>0.95510835913312686</v>
      </c>
      <c r="H5" s="42">
        <v>1.1093911248710011</v>
      </c>
      <c r="I5" s="42">
        <v>0.78844169246646023</v>
      </c>
      <c r="K5" s="1">
        <v>71</v>
      </c>
      <c r="L5" s="1">
        <v>91</v>
      </c>
      <c r="M5" s="1">
        <v>94</v>
      </c>
      <c r="N5" s="1">
        <v>98</v>
      </c>
      <c r="O5" s="42">
        <v>0.94387755102040816</v>
      </c>
      <c r="P5" s="42">
        <v>1.1326530612244898</v>
      </c>
      <c r="Q5" s="42">
        <v>0.90816326530612246</v>
      </c>
    </row>
    <row r="6" spans="1:17" x14ac:dyDescent="0.35">
      <c r="B6" s="1">
        <v>14.89</v>
      </c>
      <c r="C6" s="31">
        <f t="shared" si="0"/>
        <v>16.379000000000001</v>
      </c>
      <c r="D6" s="1">
        <v>11.35</v>
      </c>
      <c r="E6" s="1">
        <v>12.77</v>
      </c>
      <c r="F6">
        <v>16.09</v>
      </c>
      <c r="G6" s="42">
        <v>0.78844862323707177</v>
      </c>
      <c r="H6" s="42">
        <v>1.0805910006715915</v>
      </c>
      <c r="I6" s="42">
        <v>0.77367360644728</v>
      </c>
      <c r="K6" s="1">
        <v>75</v>
      </c>
      <c r="L6" s="1">
        <v>92</v>
      </c>
      <c r="M6" s="1">
        <v>103</v>
      </c>
      <c r="N6" s="1">
        <v>120</v>
      </c>
      <c r="O6" s="42">
        <v>0.8125</v>
      </c>
      <c r="P6" s="42">
        <v>1.1000000000000001</v>
      </c>
      <c r="Q6" s="42">
        <v>0.96666666666666667</v>
      </c>
    </row>
    <row r="7" spans="1:17" x14ac:dyDescent="0.35">
      <c r="B7" s="1">
        <v>17.97</v>
      </c>
      <c r="C7" s="31">
        <f t="shared" si="0"/>
        <v>19.766999999999999</v>
      </c>
      <c r="D7" s="1">
        <v>11.31</v>
      </c>
      <c r="E7" s="1">
        <v>13.16</v>
      </c>
      <c r="F7">
        <v>15.25</v>
      </c>
      <c r="G7" s="42">
        <v>0.66138007790762388</v>
      </c>
      <c r="H7" s="42">
        <v>0.84863661658319423</v>
      </c>
      <c r="I7" s="42">
        <v>0.57373400111296613</v>
      </c>
      <c r="K7" s="1">
        <v>104</v>
      </c>
      <c r="L7" s="1">
        <v>126</v>
      </c>
      <c r="M7" s="1">
        <v>132</v>
      </c>
      <c r="N7" s="1">
        <v>155</v>
      </c>
      <c r="O7" s="42">
        <v>0.75806451612903225</v>
      </c>
      <c r="P7" s="42">
        <v>0.91612903225806452</v>
      </c>
      <c r="Q7" s="42">
        <v>0.81290322580645158</v>
      </c>
    </row>
    <row r="8" spans="1:17" x14ac:dyDescent="0.35">
      <c r="B8" s="1">
        <v>15.22</v>
      </c>
      <c r="C8" s="31">
        <f t="shared" si="0"/>
        <v>16.742000000000001</v>
      </c>
      <c r="D8" s="1">
        <v>8.57</v>
      </c>
      <c r="E8" s="1">
        <v>14.69</v>
      </c>
      <c r="F8">
        <v>17.93</v>
      </c>
      <c r="G8" s="42">
        <v>0.84132720105124825</v>
      </c>
      <c r="H8" s="42">
        <v>1.1780551905387646</v>
      </c>
      <c r="I8" s="42">
        <v>0.83442838370565042</v>
      </c>
      <c r="K8" s="1">
        <v>54</v>
      </c>
      <c r="L8" s="1">
        <v>69</v>
      </c>
      <c r="M8" s="1">
        <v>87</v>
      </c>
      <c r="N8" s="1">
        <v>92</v>
      </c>
      <c r="O8" s="42">
        <v>0.82608695652173914</v>
      </c>
      <c r="P8" s="42">
        <v>1.2934782608695652</v>
      </c>
      <c r="Q8" s="42">
        <v>1.076086956521739</v>
      </c>
    </row>
    <row r="9" spans="1:17" x14ac:dyDescent="0.35">
      <c r="B9" s="1">
        <v>12.22</v>
      </c>
      <c r="C9" s="31">
        <f t="shared" si="0"/>
        <v>13.442000000000002</v>
      </c>
      <c r="D9" s="1">
        <v>7.22</v>
      </c>
      <c r="E9" s="1">
        <v>11.37</v>
      </c>
      <c r="F9" s="1">
        <v>16.61</v>
      </c>
      <c r="G9" s="42">
        <v>1.1714402618657938</v>
      </c>
      <c r="H9" s="42">
        <v>1.3592471358428804</v>
      </c>
      <c r="I9" s="42">
        <v>0.86988543371522098</v>
      </c>
      <c r="K9" s="1">
        <v>60</v>
      </c>
      <c r="L9" s="1">
        <v>84</v>
      </c>
      <c r="M9" s="1">
        <v>110</v>
      </c>
      <c r="N9" s="1">
        <v>118</v>
      </c>
      <c r="O9" s="42">
        <v>0.79661016949152541</v>
      </c>
      <c r="P9" s="42">
        <v>0.94067796610169496</v>
      </c>
      <c r="Q9" s="42">
        <v>0.81355932203389836</v>
      </c>
    </row>
    <row r="10" spans="1:17" x14ac:dyDescent="0.35">
      <c r="B10" s="1"/>
      <c r="C10" s="32"/>
      <c r="D10" s="1"/>
      <c r="E10" s="1"/>
      <c r="K10" s="1"/>
      <c r="L10" s="1"/>
      <c r="M10" s="1"/>
      <c r="N10" s="1"/>
    </row>
    <row r="11" spans="1:17" x14ac:dyDescent="0.35">
      <c r="B11" s="1"/>
      <c r="C11" s="32"/>
      <c r="D11" s="1"/>
      <c r="E11" s="1"/>
      <c r="G11">
        <f>QUARTILE(G2:G9,1)</f>
        <v>0.77697212083689471</v>
      </c>
      <c r="K11" s="1"/>
      <c r="L11" s="1"/>
      <c r="M11" s="1"/>
      <c r="N11" s="1"/>
    </row>
    <row r="12" spans="1:17" x14ac:dyDescent="0.35">
      <c r="B12" s="1"/>
      <c r="C12" s="32"/>
      <c r="D12" s="1"/>
      <c r="E12" s="1"/>
      <c r="G12" s="2"/>
      <c r="H12" s="2"/>
      <c r="I12" s="2"/>
      <c r="K12" s="1"/>
      <c r="L12" s="1"/>
      <c r="M12" s="1"/>
      <c r="N12" s="1"/>
    </row>
    <row r="13" spans="1:17" x14ac:dyDescent="0.35">
      <c r="A13" t="s">
        <v>149</v>
      </c>
      <c r="B13" s="36">
        <f>MIN(B2:B9)</f>
        <v>9.65</v>
      </c>
      <c r="C13" s="36">
        <f>MIN(C2:C9)</f>
        <v>10.615000000000002</v>
      </c>
      <c r="D13" s="36">
        <v>6.3381858902575585</v>
      </c>
      <c r="E13" s="36">
        <v>7.1</v>
      </c>
      <c r="F13" s="36">
        <v>10.75</v>
      </c>
      <c r="G13" s="43">
        <v>0.66138007790762388</v>
      </c>
      <c r="H13" s="43">
        <v>0.84863661658319423</v>
      </c>
      <c r="I13" s="43">
        <v>0.57373400111296613</v>
      </c>
      <c r="K13" s="38">
        <f>MIN(K2:K9)</f>
        <v>54</v>
      </c>
      <c r="L13" s="38">
        <f>MIN(L2:L9)</f>
        <v>69</v>
      </c>
      <c r="M13" s="38">
        <f>MIN(M2:M9)</f>
        <v>81</v>
      </c>
      <c r="N13" s="38">
        <f>MIN(N2:N9)</f>
        <v>86</v>
      </c>
    </row>
    <row r="14" spans="1:17" x14ac:dyDescent="0.35">
      <c r="A14" t="s">
        <v>138</v>
      </c>
      <c r="B14" s="36">
        <f>MEDIAN(B2:B9)</f>
        <v>13.905000000000001</v>
      </c>
      <c r="C14" s="36">
        <f>MEDIAN(C2:C9)</f>
        <v>15.295500000000001</v>
      </c>
      <c r="D14" s="36">
        <v>7.9550000000000001</v>
      </c>
      <c r="E14" s="36">
        <v>12.19</v>
      </c>
      <c r="F14" s="36">
        <v>15.25</v>
      </c>
      <c r="G14" s="43">
        <v>0.88439417047381053</v>
      </c>
      <c r="H14" s="43">
        <v>1.1230893448189203</v>
      </c>
      <c r="I14" s="43">
        <v>0.81143503808605533</v>
      </c>
      <c r="K14" s="38">
        <f>MEDIAN(K2:K9)</f>
        <v>68.5</v>
      </c>
      <c r="L14" s="38">
        <f>MEDIAN(L2:L9)</f>
        <v>87.5</v>
      </c>
      <c r="M14" s="38">
        <f>MEDIAN(M2:M9)</f>
        <v>103</v>
      </c>
      <c r="N14" s="38">
        <f>MEDIAN(N2:N9)</f>
        <v>115</v>
      </c>
    </row>
    <row r="15" spans="1:17" x14ac:dyDescent="0.35">
      <c r="A15" t="s">
        <v>150</v>
      </c>
      <c r="B15" s="36">
        <f>MAX(B2:B9)</f>
        <v>17.97</v>
      </c>
      <c r="C15" s="36">
        <f>MAX(C2:C9)</f>
        <v>19.766999999999999</v>
      </c>
      <c r="D15" s="36">
        <v>11.35</v>
      </c>
      <c r="E15" s="36">
        <v>14.69</v>
      </c>
      <c r="F15" s="36">
        <v>17.93</v>
      </c>
      <c r="G15" s="43">
        <v>1.1714402618657938</v>
      </c>
      <c r="H15" s="43">
        <v>1.3592471358428804</v>
      </c>
      <c r="I15" s="43">
        <v>0.97159504734158775</v>
      </c>
      <c r="K15" s="38">
        <f>MAX(K2:K9)</f>
        <v>104</v>
      </c>
      <c r="L15" s="38">
        <f>MAX(L2:L9)</f>
        <v>126</v>
      </c>
      <c r="M15" s="38">
        <f>MAX(M2:M9)</f>
        <v>132</v>
      </c>
      <c r="N15" s="38">
        <f>MAX(N2:N9)</f>
        <v>155</v>
      </c>
    </row>
    <row r="17" spans="1:14" x14ac:dyDescent="0.35">
      <c r="A17" t="s">
        <v>123</v>
      </c>
      <c r="B17" s="36">
        <f>AVERAGE(B2:B9)</f>
        <v>13.431249999999999</v>
      </c>
      <c r="C17" s="36">
        <f>AVERAGE(C2:C9)</f>
        <v>14.774375000000001</v>
      </c>
      <c r="D17" s="36">
        <v>8.7260232362821952</v>
      </c>
      <c r="E17" s="36">
        <v>11.881428571428572</v>
      </c>
      <c r="F17" s="36">
        <v>14.512857142857143</v>
      </c>
      <c r="G17" s="43">
        <v>0.89324685578541474</v>
      </c>
      <c r="H17" s="43">
        <v>1.1145276346242579</v>
      </c>
      <c r="I17" s="43">
        <v>0.80742059195992688</v>
      </c>
      <c r="K17" s="38">
        <f>AVERAGE(K2:K9)</f>
        <v>71.375</v>
      </c>
      <c r="L17" s="38">
        <f>AVERAGE(L2:L9)</f>
        <v>90.5</v>
      </c>
      <c r="M17" s="38">
        <f>AVERAGE(M2:M9)</f>
        <v>103.14285714285714</v>
      </c>
      <c r="N17" s="38">
        <f>AVERAGE(N2:N9)</f>
        <v>116.875</v>
      </c>
    </row>
    <row r="18" spans="1:14" x14ac:dyDescent="0.35">
      <c r="A18" t="s">
        <v>163</v>
      </c>
      <c r="B18" s="36">
        <f>STDEV(B2:B9)</f>
        <v>2.8334705498986419</v>
      </c>
      <c r="C18" s="36">
        <f>STDEV(C2:C9)</f>
        <v>3.1168176048884959</v>
      </c>
      <c r="D18" s="36">
        <v>2.2398867387936501</v>
      </c>
      <c r="E18" s="36">
        <v>2.3640109177090558</v>
      </c>
      <c r="F18" s="36">
        <v>2.7845389461914718</v>
      </c>
      <c r="G18" s="43">
        <v>0.16893482738754692</v>
      </c>
      <c r="H18" s="43">
        <v>0.15237913062709019</v>
      </c>
      <c r="I18" s="43">
        <v>0.11590874715884542</v>
      </c>
      <c r="K18" s="38">
        <f>STDEV(K2:K9)</f>
        <v>15.117988339345001</v>
      </c>
      <c r="L18" s="38">
        <f>STDEV(L2:L9)</f>
        <v>18.275666882497067</v>
      </c>
      <c r="M18" s="38">
        <f>STDEV(M2:M9)</f>
        <v>17.582458791160509</v>
      </c>
      <c r="N18" s="38">
        <f>STDEV(N2:N9)</f>
        <v>26.172163511202946</v>
      </c>
    </row>
    <row r="20" spans="1:14" x14ac:dyDescent="0.35">
      <c r="D20" t="s">
        <v>175</v>
      </c>
      <c r="H20" t="s">
        <v>176</v>
      </c>
    </row>
    <row r="21" spans="1:14" x14ac:dyDescent="0.35">
      <c r="D21" s="2" t="s">
        <v>164</v>
      </c>
      <c r="E21" s="2" t="s">
        <v>165</v>
      </c>
      <c r="F21" s="2" t="s">
        <v>166</v>
      </c>
      <c r="H21" s="2" t="s">
        <v>164</v>
      </c>
      <c r="I21" s="2" t="s">
        <v>165</v>
      </c>
      <c r="J21" s="2" t="s">
        <v>166</v>
      </c>
    </row>
    <row r="22" spans="1:14" x14ac:dyDescent="0.35">
      <c r="C22">
        <v>1</v>
      </c>
      <c r="D22" s="42">
        <v>1.0582665695557174</v>
      </c>
      <c r="E22" s="42">
        <v>1.2155863073561544</v>
      </c>
      <c r="F22" s="42">
        <v>0.97159504734158775</v>
      </c>
      <c r="H22" s="42">
        <v>0.76948051948051943</v>
      </c>
      <c r="I22" s="42">
        <v>1.0584415584415585</v>
      </c>
      <c r="J22" s="42">
        <v>0.8441558441558441</v>
      </c>
    </row>
    <row r="23" spans="1:14" x14ac:dyDescent="0.35">
      <c r="C23">
        <v>2</v>
      </c>
      <c r="D23" s="42">
        <v>0.74254261363636365</v>
      </c>
      <c r="E23" s="42">
        <v>0.98792613636363635</v>
      </c>
      <c r="F23" s="42">
        <v>0.76988636363636365</v>
      </c>
      <c r="H23" s="42">
        <v>0.9941860465116279</v>
      </c>
      <c r="I23" s="42">
        <v>1.0930232558139534</v>
      </c>
      <c r="J23" s="42">
        <v>1.0348837209302326</v>
      </c>
    </row>
    <row r="24" spans="1:14" x14ac:dyDescent="0.35">
      <c r="C24">
        <v>3</v>
      </c>
      <c r="D24" s="42">
        <v>0.92746113989637291</v>
      </c>
      <c r="E24" s="42">
        <v>1.1367875647668395</v>
      </c>
      <c r="F24" s="42">
        <v>0.877720207253886</v>
      </c>
      <c r="H24" s="42">
        <v>0.6964285714285714</v>
      </c>
      <c r="I24" s="42">
        <v>0.8571428571428571</v>
      </c>
      <c r="J24" s="42">
        <v>0.7589285714285714</v>
      </c>
    </row>
    <row r="25" spans="1:14" x14ac:dyDescent="0.35">
      <c r="C25">
        <v>4</v>
      </c>
      <c r="D25" s="42">
        <v>0.95510835913312686</v>
      </c>
      <c r="E25" s="42">
        <v>1.1093911248710011</v>
      </c>
      <c r="F25" s="42">
        <v>0.78844169246646023</v>
      </c>
      <c r="H25" s="42">
        <v>0.94387755102040816</v>
      </c>
      <c r="I25" s="42">
        <v>1.1326530612244898</v>
      </c>
      <c r="J25" s="42">
        <v>0.90816326530612246</v>
      </c>
    </row>
    <row r="26" spans="1:14" x14ac:dyDescent="0.35">
      <c r="C26">
        <v>5</v>
      </c>
      <c r="D26" s="42">
        <v>0.78844862323707177</v>
      </c>
      <c r="E26" s="42">
        <v>1.0805910006715915</v>
      </c>
      <c r="F26" s="42">
        <v>0.77367360644728</v>
      </c>
      <c r="H26" s="42">
        <v>0.8125</v>
      </c>
      <c r="I26" s="42">
        <v>1.1000000000000001</v>
      </c>
      <c r="J26" s="42">
        <v>0.96666666666666667</v>
      </c>
    </row>
    <row r="27" spans="1:14" x14ac:dyDescent="0.35">
      <c r="C27">
        <v>6</v>
      </c>
      <c r="D27" s="42">
        <v>0.66138007790762388</v>
      </c>
      <c r="E27" s="42">
        <v>0.84863661658319423</v>
      </c>
      <c r="F27" s="42">
        <v>0.57373400111296613</v>
      </c>
      <c r="H27" s="42">
        <v>0.75806451612903225</v>
      </c>
      <c r="I27" s="42">
        <v>0.91612903225806452</v>
      </c>
      <c r="J27" s="42">
        <v>0.81290322580645158</v>
      </c>
    </row>
    <row r="28" spans="1:14" x14ac:dyDescent="0.35">
      <c r="C28">
        <v>7</v>
      </c>
      <c r="D28" s="42">
        <v>0.84132720105124825</v>
      </c>
      <c r="E28" s="42">
        <v>1.1780551905387646</v>
      </c>
      <c r="F28" s="42">
        <v>0.83442838370565042</v>
      </c>
      <c r="H28" s="42">
        <v>0.82608695652173914</v>
      </c>
      <c r="I28" s="42">
        <v>1.2934782608695652</v>
      </c>
      <c r="J28" s="42">
        <v>1.076086956521739</v>
      </c>
    </row>
    <row r="29" spans="1:14" x14ac:dyDescent="0.35">
      <c r="C29">
        <v>8</v>
      </c>
      <c r="D29" s="42">
        <v>1.1714402618657938</v>
      </c>
      <c r="E29" s="42">
        <v>1.3592471358428804</v>
      </c>
      <c r="F29" s="42">
        <v>0.86988543371522098</v>
      </c>
      <c r="H29" s="42">
        <v>0.79661016949152541</v>
      </c>
      <c r="I29" s="42">
        <v>0.94067796610169496</v>
      </c>
      <c r="J29" s="42">
        <v>0.81355932203389836</v>
      </c>
    </row>
    <row r="30" spans="1:14" x14ac:dyDescent="0.35">
      <c r="C30">
        <v>9</v>
      </c>
      <c r="D30" s="17">
        <v>0.87828947368421051</v>
      </c>
      <c r="E30" s="17">
        <v>1.2171052631578947</v>
      </c>
      <c r="F30" s="17">
        <v>0.99342105263157898</v>
      </c>
      <c r="H30" s="17">
        <v>0.80612244897959184</v>
      </c>
      <c r="I30" s="17">
        <v>1</v>
      </c>
      <c r="J30" s="17">
        <v>0.92517006802721091</v>
      </c>
    </row>
    <row r="31" spans="1:14" x14ac:dyDescent="0.35">
      <c r="C31">
        <v>10</v>
      </c>
      <c r="D31" s="17">
        <v>1.3352272727272727</v>
      </c>
      <c r="E31" s="17">
        <v>1.4545454545454546</v>
      </c>
      <c r="F31" s="17">
        <v>1.2727272727272725</v>
      </c>
      <c r="H31" s="17">
        <v>0.875</v>
      </c>
      <c r="I31" s="60">
        <v>1.2380952380952381</v>
      </c>
      <c r="J31" s="17">
        <v>0.9642857142857143</v>
      </c>
    </row>
    <row r="32" spans="1:14" x14ac:dyDescent="0.35">
      <c r="C32">
        <v>11</v>
      </c>
      <c r="D32" s="17">
        <v>0.86551724137931041</v>
      </c>
      <c r="E32" s="17">
        <v>0.99310344827586206</v>
      </c>
      <c r="F32" s="17">
        <v>0.77931034482758621</v>
      </c>
      <c r="H32" s="17">
        <v>0.83653846153846156</v>
      </c>
      <c r="I32" s="17">
        <v>0.97115384615384615</v>
      </c>
      <c r="J32" s="17">
        <v>0.875</v>
      </c>
    </row>
    <row r="33" spans="3:10" x14ac:dyDescent="0.35">
      <c r="C33">
        <v>12</v>
      </c>
      <c r="D33" s="17">
        <v>0.91666666666666663</v>
      </c>
      <c r="E33" s="17">
        <v>1.43859649122807</v>
      </c>
      <c r="F33" s="17">
        <v>1.0614035087719298</v>
      </c>
      <c r="H33" s="17">
        <v>0.71363636363636362</v>
      </c>
      <c r="I33" s="17">
        <v>1.3209876543209877</v>
      </c>
      <c r="J33" s="17">
        <v>1</v>
      </c>
    </row>
    <row r="34" spans="3:10" x14ac:dyDescent="0.35">
      <c r="C34">
        <v>13</v>
      </c>
      <c r="D34" s="17">
        <v>0.86538461538461542</v>
      </c>
      <c r="E34" s="17">
        <v>1.153846153846154</v>
      </c>
      <c r="F34" s="17">
        <v>0.94230769230769229</v>
      </c>
      <c r="H34" s="17">
        <v>0.93243243243243246</v>
      </c>
      <c r="I34" s="17">
        <v>1.0540540540540539</v>
      </c>
      <c r="J34" s="17">
        <v>0.97297297297297303</v>
      </c>
    </row>
    <row r="35" spans="3:10" x14ac:dyDescent="0.35">
      <c r="C35">
        <v>14</v>
      </c>
      <c r="D35" s="17">
        <v>0.90355329949238583</v>
      </c>
      <c r="E35" s="17">
        <v>1.0913705583756346</v>
      </c>
      <c r="F35" s="17">
        <v>0.80203045685279195</v>
      </c>
      <c r="H35" s="17">
        <v>0.8125</v>
      </c>
      <c r="I35" s="17">
        <v>0.96710526315789469</v>
      </c>
      <c r="J35" s="17">
        <v>0.78947368421052633</v>
      </c>
    </row>
    <row r="36" spans="3:10" x14ac:dyDescent="0.35">
      <c r="C36">
        <v>15</v>
      </c>
      <c r="D36" s="102">
        <v>0.59</v>
      </c>
      <c r="E36" s="91">
        <v>1.0397727272727273</v>
      </c>
      <c r="F36" s="91">
        <v>0.78977272727272718</v>
      </c>
      <c r="H36" s="102"/>
      <c r="I36" s="90"/>
      <c r="J36" s="102"/>
    </row>
    <row r="37" spans="3:10" x14ac:dyDescent="0.35">
      <c r="D37" s="2" t="s">
        <v>164</v>
      </c>
      <c r="E37" s="2" t="s">
        <v>165</v>
      </c>
      <c r="F37" s="2" t="s">
        <v>166</v>
      </c>
      <c r="H37" s="2" t="s">
        <v>164</v>
      </c>
      <c r="I37" s="2" t="s">
        <v>165</v>
      </c>
      <c r="J37" s="2" t="s">
        <v>166</v>
      </c>
    </row>
    <row r="38" spans="3:10" x14ac:dyDescent="0.35">
      <c r="C38" t="s">
        <v>149</v>
      </c>
      <c r="D38" s="7">
        <f>MIN(D22:D35)</f>
        <v>0.66138007790762388</v>
      </c>
      <c r="E38" s="7">
        <f t="shared" ref="E38:J38" si="1">MIN(E22:E35)</f>
        <v>0.84863661658319423</v>
      </c>
      <c r="F38" s="7">
        <f t="shared" si="1"/>
        <v>0.57373400111296613</v>
      </c>
      <c r="G38" s="7" t="s">
        <v>75</v>
      </c>
      <c r="H38" s="7">
        <f t="shared" si="1"/>
        <v>0.6964285714285714</v>
      </c>
      <c r="I38" s="7">
        <f t="shared" si="1"/>
        <v>0.8571428571428571</v>
      </c>
      <c r="J38" s="7">
        <f t="shared" si="1"/>
        <v>0.7589285714285714</v>
      </c>
    </row>
    <row r="39" spans="3:10" x14ac:dyDescent="0.35">
      <c r="C39" t="s">
        <v>167</v>
      </c>
      <c r="D39" s="7">
        <f>QUARTILE(D22:D35, 1)</f>
        <v>0.84734155463459004</v>
      </c>
      <c r="E39" s="7">
        <f t="shared" ref="E39:J39" si="2">QUARTILE(E22:E35, 1)</f>
        <v>1.0832858900976023</v>
      </c>
      <c r="F39" s="7">
        <f t="shared" si="2"/>
        <v>0.78159318173730474</v>
      </c>
      <c r="H39" s="7">
        <f t="shared" si="2"/>
        <v>0.7762629319832709</v>
      </c>
      <c r="I39" s="7">
        <f t="shared" si="2"/>
        <v>0.96811740890688258</v>
      </c>
      <c r="J39" s="7">
        <f t="shared" si="2"/>
        <v>0.82120845256438479</v>
      </c>
    </row>
    <row r="40" spans="3:10" x14ac:dyDescent="0.35">
      <c r="C40" t="s">
        <v>138</v>
      </c>
      <c r="D40" s="7">
        <f>MEDIAN(D22:D35)</f>
        <v>0.89092138658829811</v>
      </c>
      <c r="E40" s="7">
        <f t="shared" ref="E40:J40" si="3">MEDIAN(E22:E35)</f>
        <v>1.1453168593064968</v>
      </c>
      <c r="F40" s="7">
        <f t="shared" si="3"/>
        <v>0.8521569087104357</v>
      </c>
      <c r="H40" s="7">
        <f t="shared" si="3"/>
        <v>0.8125</v>
      </c>
      <c r="I40" s="7">
        <f t="shared" si="3"/>
        <v>1.0562478062478062</v>
      </c>
      <c r="J40" s="7">
        <f t="shared" si="3"/>
        <v>0.91666666666666674</v>
      </c>
    </row>
    <row r="41" spans="3:10" x14ac:dyDescent="0.35">
      <c r="C41" t="s">
        <v>168</v>
      </c>
      <c r="D41" s="7">
        <f>QUARTILE(D22:D35, 3)</f>
        <v>0.94819655432393835</v>
      </c>
      <c r="E41" s="7">
        <f t="shared" ref="E41:J41" si="4">QUARTILE(E22:E35, 3)</f>
        <v>1.2167255242074595</v>
      </c>
      <c r="F41" s="7">
        <f t="shared" si="4"/>
        <v>0.96427320858311383</v>
      </c>
      <c r="G41" s="7" t="s">
        <v>75</v>
      </c>
      <c r="H41" s="7">
        <f t="shared" si="4"/>
        <v>0.86538461538461542</v>
      </c>
      <c r="I41" s="7">
        <f t="shared" si="4"/>
        <v>1.1244897959183673</v>
      </c>
      <c r="J41" s="7">
        <f t="shared" si="4"/>
        <v>0.97139639639639641</v>
      </c>
    </row>
    <row r="42" spans="3:10" x14ac:dyDescent="0.35">
      <c r="C42" t="s">
        <v>150</v>
      </c>
      <c r="D42" s="7">
        <f>MAX(D22:D35)</f>
        <v>1.3352272727272727</v>
      </c>
      <c r="E42" s="7">
        <f t="shared" ref="E42:J42" si="5">MAX(E22:E35)</f>
        <v>1.4545454545454546</v>
      </c>
      <c r="F42" s="7">
        <f t="shared" si="5"/>
        <v>1.2727272727272725</v>
      </c>
      <c r="H42" s="7">
        <f t="shared" si="5"/>
        <v>0.9941860465116279</v>
      </c>
      <c r="I42" s="7">
        <f t="shared" si="5"/>
        <v>1.3209876543209877</v>
      </c>
      <c r="J42" s="7">
        <f t="shared" si="5"/>
        <v>1.076086956521739</v>
      </c>
    </row>
    <row r="43" spans="3:10" x14ac:dyDescent="0.35">
      <c r="C43" t="s">
        <v>169</v>
      </c>
      <c r="D43" s="42">
        <f>D39</f>
        <v>0.84734155463459004</v>
      </c>
      <c r="E43" s="42">
        <f>E39</f>
        <v>1.0832858900976023</v>
      </c>
      <c r="F43" s="42">
        <f>F39</f>
        <v>0.78159318173730474</v>
      </c>
      <c r="H43" s="42">
        <f>H39</f>
        <v>0.7762629319832709</v>
      </c>
      <c r="I43" s="42">
        <f>I39</f>
        <v>0.96811740890688258</v>
      </c>
      <c r="J43" s="42">
        <f>J39</f>
        <v>0.82120845256438479</v>
      </c>
    </row>
    <row r="44" spans="3:10" x14ac:dyDescent="0.35">
      <c r="C44" t="s">
        <v>170</v>
      </c>
      <c r="D44" s="42">
        <f t="shared" ref="D44:F45" si="6">D40-D39</f>
        <v>4.357983195370807E-2</v>
      </c>
      <c r="E44" s="42">
        <f t="shared" si="6"/>
        <v>6.2030969208894504E-2</v>
      </c>
      <c r="F44" s="42">
        <f t="shared" si="6"/>
        <v>7.0563726973130958E-2</v>
      </c>
      <c r="H44" s="42">
        <f t="shared" ref="H44:J45" si="7">H40-H39</f>
        <v>3.6237068016729101E-2</v>
      </c>
      <c r="I44" s="42">
        <f t="shared" si="7"/>
        <v>8.813039734092365E-2</v>
      </c>
      <c r="J44" s="42">
        <f t="shared" si="7"/>
        <v>9.5458214102281946E-2</v>
      </c>
    </row>
    <row r="45" spans="3:10" x14ac:dyDescent="0.35">
      <c r="C45" t="s">
        <v>171</v>
      </c>
      <c r="D45" s="42">
        <f t="shared" si="6"/>
        <v>5.7275167735640231E-2</v>
      </c>
      <c r="E45" s="42">
        <f t="shared" si="6"/>
        <v>7.1408664900962648E-2</v>
      </c>
      <c r="F45" s="42">
        <f t="shared" si="6"/>
        <v>0.11211629987267813</v>
      </c>
      <c r="H45" s="42">
        <f t="shared" si="7"/>
        <v>5.2884615384615419E-2</v>
      </c>
      <c r="I45" s="42">
        <f t="shared" si="7"/>
        <v>6.8241989670561054E-2</v>
      </c>
      <c r="J45" s="42">
        <f t="shared" si="7"/>
        <v>5.472972972972967E-2</v>
      </c>
    </row>
    <row r="46" spans="3:10" x14ac:dyDescent="0.35">
      <c r="C46" t="s">
        <v>172</v>
      </c>
      <c r="D46" s="42">
        <f>D39-D38</f>
        <v>0.18596147672696617</v>
      </c>
      <c r="E46" s="42">
        <f>E39-E38</f>
        <v>0.23464927351440812</v>
      </c>
      <c r="F46" s="42">
        <f>F39-F38</f>
        <v>0.20785918062433861</v>
      </c>
      <c r="H46" s="42">
        <f>H39-H38</f>
        <v>7.9834360554699502E-2</v>
      </c>
      <c r="I46" s="42">
        <f>I39-I38</f>
        <v>0.11097455176402549</v>
      </c>
      <c r="J46" s="42">
        <f>J39-J38</f>
        <v>6.2279881135813397E-2</v>
      </c>
    </row>
    <row r="47" spans="3:10" x14ac:dyDescent="0.35">
      <c r="C47" t="s">
        <v>173</v>
      </c>
      <c r="D47" s="42">
        <f>D42-D41</f>
        <v>0.38703071840333436</v>
      </c>
      <c r="E47" s="42">
        <f>E42-E41</f>
        <v>0.23781993033799509</v>
      </c>
      <c r="F47" s="42">
        <f>F42-F41</f>
        <v>0.30845406414415866</v>
      </c>
      <c r="H47" s="42">
        <f>H42-H41</f>
        <v>0.12880143112701248</v>
      </c>
      <c r="I47" s="42">
        <f>I42-I41</f>
        <v>0.19649785840262046</v>
      </c>
      <c r="J47" s="42">
        <f>J42-J41</f>
        <v>0.10469056012534261</v>
      </c>
    </row>
    <row r="48" spans="3:10" x14ac:dyDescent="0.35">
      <c r="C48" t="s">
        <v>174</v>
      </c>
      <c r="D48">
        <v>0.5</v>
      </c>
      <c r="E48">
        <v>1.5</v>
      </c>
      <c r="F48">
        <v>2.5</v>
      </c>
      <c r="H48">
        <v>0.5</v>
      </c>
      <c r="I48">
        <v>1.5</v>
      </c>
      <c r="J48">
        <v>2.5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selection activeCell="E1" sqref="E1:E1048576"/>
    </sheetView>
  </sheetViews>
  <sheetFormatPr defaultRowHeight="14.5" x14ac:dyDescent="0.35"/>
  <sheetData>
    <row r="1" spans="1:18" x14ac:dyDescent="0.35">
      <c r="A1" s="2" t="s">
        <v>0</v>
      </c>
      <c r="B1" t="s">
        <v>259</v>
      </c>
      <c r="C1" t="s">
        <v>261</v>
      </c>
      <c r="D1" t="s">
        <v>260</v>
      </c>
      <c r="E1" t="s">
        <v>179</v>
      </c>
      <c r="F1" t="s">
        <v>256</v>
      </c>
      <c r="G1" t="s">
        <v>255</v>
      </c>
      <c r="H1" t="s">
        <v>177</v>
      </c>
      <c r="I1" t="s">
        <v>182</v>
      </c>
      <c r="J1" t="s">
        <v>178</v>
      </c>
      <c r="K1" t="s">
        <v>262</v>
      </c>
      <c r="L1" t="s">
        <v>180</v>
      </c>
      <c r="M1" t="s">
        <v>194</v>
      </c>
      <c r="N1" t="s">
        <v>195</v>
      </c>
      <c r="O1" t="s">
        <v>196</v>
      </c>
      <c r="R1" t="s">
        <v>183</v>
      </c>
    </row>
    <row r="2" spans="1:18" x14ac:dyDescent="0.35">
      <c r="A2">
        <v>1</v>
      </c>
      <c r="B2" t="s">
        <v>39</v>
      </c>
      <c r="G2" t="s">
        <v>39</v>
      </c>
      <c r="H2" t="s">
        <v>39</v>
      </c>
      <c r="J2" t="s">
        <v>39</v>
      </c>
      <c r="L2" t="s">
        <v>39</v>
      </c>
      <c r="M2" t="s">
        <v>263</v>
      </c>
    </row>
    <row r="3" spans="1:18" x14ac:dyDescent="0.35">
      <c r="A3">
        <v>2</v>
      </c>
      <c r="B3" t="s">
        <v>39</v>
      </c>
      <c r="G3" t="s">
        <v>39</v>
      </c>
      <c r="H3" t="s">
        <v>39</v>
      </c>
      <c r="J3" t="s">
        <v>39</v>
      </c>
      <c r="L3" t="s">
        <v>39</v>
      </c>
      <c r="M3" t="s">
        <v>263</v>
      </c>
    </row>
    <row r="4" spans="1:18" x14ac:dyDescent="0.35">
      <c r="A4">
        <v>3</v>
      </c>
      <c r="B4" t="s">
        <v>39</v>
      </c>
      <c r="G4" t="s">
        <v>39</v>
      </c>
      <c r="I4" t="s">
        <v>39</v>
      </c>
      <c r="J4" t="s">
        <v>39</v>
      </c>
      <c r="L4" t="s">
        <v>39</v>
      </c>
      <c r="M4" t="s">
        <v>181</v>
      </c>
    </row>
    <row r="5" spans="1:18" x14ac:dyDescent="0.35">
      <c r="A5">
        <v>4</v>
      </c>
      <c r="D5" t="s">
        <v>39</v>
      </c>
      <c r="F5" t="s">
        <v>39</v>
      </c>
      <c r="H5" t="s">
        <v>39</v>
      </c>
      <c r="J5" t="s">
        <v>39</v>
      </c>
      <c r="L5" t="s">
        <v>39</v>
      </c>
    </row>
    <row r="6" spans="1:18" x14ac:dyDescent="0.35">
      <c r="A6">
        <v>5</v>
      </c>
      <c r="D6" t="s">
        <v>39</v>
      </c>
      <c r="G6" t="s">
        <v>39</v>
      </c>
      <c r="H6" t="s">
        <v>39</v>
      </c>
      <c r="J6" t="s">
        <v>39</v>
      </c>
      <c r="L6" t="s">
        <v>39</v>
      </c>
    </row>
    <row r="7" spans="1:18" x14ac:dyDescent="0.35">
      <c r="A7">
        <v>6</v>
      </c>
      <c r="B7" t="s">
        <v>39</v>
      </c>
      <c r="J7" t="s">
        <v>39</v>
      </c>
    </row>
    <row r="8" spans="1:18" x14ac:dyDescent="0.35">
      <c r="A8">
        <v>7</v>
      </c>
      <c r="B8" t="s">
        <v>39</v>
      </c>
      <c r="H8" t="s">
        <v>39</v>
      </c>
      <c r="L8" t="s">
        <v>39</v>
      </c>
    </row>
    <row r="9" spans="1:18" x14ac:dyDescent="0.35">
      <c r="A9">
        <v>8</v>
      </c>
      <c r="B9" t="s">
        <v>39</v>
      </c>
      <c r="G9" t="s">
        <v>39</v>
      </c>
      <c r="H9" t="s">
        <v>39</v>
      </c>
      <c r="L9" t="s">
        <v>39</v>
      </c>
    </row>
    <row r="10" spans="1:18" x14ac:dyDescent="0.35">
      <c r="A10">
        <v>9</v>
      </c>
      <c r="C10" t="s">
        <v>39</v>
      </c>
      <c r="F10" t="s">
        <v>39</v>
      </c>
      <c r="G10" t="s">
        <v>39</v>
      </c>
      <c r="H10" t="s">
        <v>39</v>
      </c>
      <c r="L10" t="s">
        <v>39</v>
      </c>
      <c r="M10" t="s">
        <v>257</v>
      </c>
    </row>
    <row r="11" spans="1:18" x14ac:dyDescent="0.35">
      <c r="A11">
        <v>10</v>
      </c>
      <c r="B11" t="s">
        <v>39</v>
      </c>
      <c r="I11" t="s">
        <v>39</v>
      </c>
      <c r="J11" t="s">
        <v>39</v>
      </c>
      <c r="L11" t="s">
        <v>39</v>
      </c>
      <c r="M11" t="s">
        <v>181</v>
      </c>
      <c r="N11" t="s">
        <v>193</v>
      </c>
    </row>
    <row r="12" spans="1:18" x14ac:dyDescent="0.35">
      <c r="A12">
        <v>11</v>
      </c>
      <c r="B12" t="s">
        <v>39</v>
      </c>
      <c r="C12" t="s">
        <v>39</v>
      </c>
      <c r="E12" t="s">
        <v>39</v>
      </c>
      <c r="F12" t="s">
        <v>39</v>
      </c>
      <c r="J12" t="s">
        <v>39</v>
      </c>
      <c r="L12" t="s">
        <v>39</v>
      </c>
      <c r="M12" t="s">
        <v>257</v>
      </c>
      <c r="N12" t="s">
        <v>258</v>
      </c>
    </row>
    <row r="13" spans="1:18" x14ac:dyDescent="0.35">
      <c r="A13">
        <v>12</v>
      </c>
      <c r="B13" t="s">
        <v>39</v>
      </c>
      <c r="F13" t="s">
        <v>39</v>
      </c>
      <c r="H13" t="s">
        <v>39</v>
      </c>
      <c r="I13" t="s">
        <v>39</v>
      </c>
    </row>
    <row r="14" spans="1:18" x14ac:dyDescent="0.35">
      <c r="A14">
        <v>13</v>
      </c>
      <c r="D14" t="s">
        <v>39</v>
      </c>
      <c r="G14" t="s">
        <v>39</v>
      </c>
      <c r="H14" t="s">
        <v>39</v>
      </c>
      <c r="J14" t="s">
        <v>39</v>
      </c>
      <c r="K14" t="s">
        <v>39</v>
      </c>
      <c r="L14" t="s">
        <v>39</v>
      </c>
    </row>
    <row r="15" spans="1:18" x14ac:dyDescent="0.35">
      <c r="A15">
        <v>14</v>
      </c>
      <c r="B15" t="s">
        <v>39</v>
      </c>
      <c r="E15" t="s">
        <v>39</v>
      </c>
      <c r="F15" t="s">
        <v>39</v>
      </c>
      <c r="G15" t="s">
        <v>39</v>
      </c>
      <c r="H15" t="s">
        <v>39</v>
      </c>
      <c r="I15" t="s">
        <v>39</v>
      </c>
      <c r="J15" t="s">
        <v>39</v>
      </c>
      <c r="K15" t="s">
        <v>75</v>
      </c>
      <c r="L15" t="s">
        <v>39</v>
      </c>
    </row>
    <row r="16" spans="1:18" x14ac:dyDescent="0.35">
      <c r="A16">
        <v>15</v>
      </c>
      <c r="B16" t="s">
        <v>39</v>
      </c>
      <c r="F16" t="s">
        <v>39</v>
      </c>
      <c r="G16" t="s">
        <v>39</v>
      </c>
      <c r="H16" t="s">
        <v>39</v>
      </c>
      <c r="J16" t="s">
        <v>39</v>
      </c>
      <c r="K16" t="s">
        <v>39</v>
      </c>
      <c r="L16" t="s">
        <v>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124"/>
  <sheetViews>
    <sheetView workbookViewId="0">
      <pane ySplit="1" topLeftCell="A13" activePane="bottomLeft" state="frozen"/>
      <selection activeCell="D1" sqref="D1"/>
      <selection pane="bottomLeft" activeCell="BL8" sqref="BL8"/>
    </sheetView>
  </sheetViews>
  <sheetFormatPr defaultRowHeight="14.5" x14ac:dyDescent="0.35"/>
  <cols>
    <col min="3" max="3" width="13" customWidth="1"/>
    <col min="4" max="4" width="8.453125" customWidth="1"/>
    <col min="17" max="17" width="9.1796875" style="1"/>
    <col min="18" max="18" width="9.1796875" style="32"/>
    <col min="19" max="19" width="9.1796875" style="1"/>
    <col min="20" max="20" width="10.54296875" style="1" bestFit="1" customWidth="1"/>
    <col min="21" max="35" width="9.1796875" style="1"/>
    <col min="36" max="36" width="9.1796875" style="32"/>
    <col min="37" max="38" width="9.1796875" style="16"/>
    <col min="39" max="39" width="11.54296875" style="16" bestFit="1" customWidth="1"/>
    <col min="40" max="40" width="11.54296875" style="32" customWidth="1"/>
    <col min="41" max="50" width="9.1796875" style="16"/>
    <col min="51" max="51" width="9.1796875" style="32"/>
    <col min="52" max="54" width="9.1796875" style="16"/>
    <col min="55" max="55" width="9.1796875" style="32"/>
    <col min="56" max="74" width="9.1796875" style="16"/>
    <col min="75" max="75" width="6.81640625" style="16" customWidth="1"/>
    <col min="76" max="77" width="8" style="16" customWidth="1"/>
    <col min="78" max="80" width="9.1796875" style="16"/>
    <col min="81" max="81" width="9.54296875" style="16" bestFit="1" customWidth="1"/>
    <col min="82" max="97" width="9.1796875" style="16"/>
    <col min="98" max="110" width="9.1796875" style="56"/>
    <col min="111" max="140" width="9.1796875" style="12"/>
    <col min="141" max="182" width="9.1796875" style="25"/>
    <col min="183" max="189" width="9.1796875" style="16"/>
    <col min="190" max="195" width="9.1796875" style="51"/>
    <col min="196" max="196" width="9.54296875" bestFit="1" customWidth="1"/>
  </cols>
  <sheetData>
    <row r="1" spans="1:207" s="2" customFormat="1" ht="78" x14ac:dyDescent="0.3">
      <c r="A1" s="2" t="s">
        <v>0</v>
      </c>
      <c r="B1" s="2" t="s">
        <v>153</v>
      </c>
      <c r="C1" s="2" t="s">
        <v>238</v>
      </c>
      <c r="D1" s="2" t="s">
        <v>154</v>
      </c>
      <c r="E1" s="2" t="s">
        <v>42</v>
      </c>
      <c r="F1" s="2" t="s">
        <v>16</v>
      </c>
      <c r="G1" s="2" t="s">
        <v>152</v>
      </c>
      <c r="H1" s="2" t="s">
        <v>15</v>
      </c>
      <c r="I1" s="2" t="s">
        <v>151</v>
      </c>
      <c r="J1" s="2" t="s">
        <v>11</v>
      </c>
      <c r="K1" s="97" t="s">
        <v>52</v>
      </c>
      <c r="L1" s="2" t="s">
        <v>45</v>
      </c>
      <c r="M1" s="2" t="s">
        <v>46</v>
      </c>
      <c r="N1" s="2" t="s">
        <v>48</v>
      </c>
      <c r="O1" s="2" t="s">
        <v>47</v>
      </c>
      <c r="P1" s="2" t="s">
        <v>133</v>
      </c>
      <c r="Q1" s="3" t="s">
        <v>1</v>
      </c>
      <c r="R1" s="30" t="s">
        <v>134</v>
      </c>
      <c r="S1" s="3" t="s">
        <v>244</v>
      </c>
      <c r="T1" s="3" t="s">
        <v>245</v>
      </c>
      <c r="U1" s="3" t="s">
        <v>17</v>
      </c>
      <c r="V1" s="3" t="s">
        <v>41</v>
      </c>
      <c r="W1" s="3" t="s">
        <v>40</v>
      </c>
      <c r="X1" s="3" t="s">
        <v>2</v>
      </c>
      <c r="Y1" s="3" t="s">
        <v>252</v>
      </c>
      <c r="Z1" s="3" t="s">
        <v>3</v>
      </c>
      <c r="AA1" s="3" t="s">
        <v>4</v>
      </c>
      <c r="AB1" s="3" t="s">
        <v>5</v>
      </c>
      <c r="AC1" s="3" t="s">
        <v>6</v>
      </c>
      <c r="AD1" s="3" t="s">
        <v>49</v>
      </c>
      <c r="AE1" s="3" t="s">
        <v>216</v>
      </c>
      <c r="AF1" s="3" t="s">
        <v>7</v>
      </c>
      <c r="AG1" s="3" t="s">
        <v>8</v>
      </c>
      <c r="AH1" s="3" t="s">
        <v>9</v>
      </c>
      <c r="AI1" s="3" t="s">
        <v>10</v>
      </c>
      <c r="AJ1" s="30" t="s">
        <v>139</v>
      </c>
      <c r="AK1" s="15" t="s">
        <v>12</v>
      </c>
      <c r="AL1" s="15" t="s">
        <v>31</v>
      </c>
      <c r="AM1" s="15" t="s">
        <v>162</v>
      </c>
      <c r="AN1" s="30" t="s">
        <v>184</v>
      </c>
      <c r="AO1" s="15" t="s">
        <v>35</v>
      </c>
      <c r="AP1" s="15" t="s">
        <v>36</v>
      </c>
      <c r="AQ1" s="15" t="s">
        <v>34</v>
      </c>
      <c r="AR1" s="15" t="s">
        <v>13</v>
      </c>
      <c r="AS1" s="15" t="s">
        <v>14</v>
      </c>
      <c r="AT1" s="15" t="s">
        <v>140</v>
      </c>
      <c r="AU1" s="15" t="s">
        <v>141</v>
      </c>
      <c r="AV1" s="15" t="s">
        <v>232</v>
      </c>
      <c r="AW1" s="15" t="s">
        <v>126</v>
      </c>
      <c r="AX1" s="15" t="s">
        <v>125</v>
      </c>
      <c r="AY1" s="30" t="s">
        <v>135</v>
      </c>
      <c r="AZ1" s="15" t="s">
        <v>22</v>
      </c>
      <c r="BA1" s="15" t="s">
        <v>137</v>
      </c>
      <c r="BB1" s="15" t="s">
        <v>94</v>
      </c>
      <c r="BC1" s="30" t="s">
        <v>136</v>
      </c>
      <c r="BD1" s="15" t="s">
        <v>50</v>
      </c>
      <c r="BE1" s="15" t="s">
        <v>51</v>
      </c>
      <c r="BF1" s="15" t="s">
        <v>33</v>
      </c>
      <c r="BG1" s="15" t="s">
        <v>70</v>
      </c>
      <c r="BH1" s="15" t="s">
        <v>71</v>
      </c>
      <c r="BI1" s="15" t="s">
        <v>72</v>
      </c>
      <c r="BJ1" s="15" t="s">
        <v>91</v>
      </c>
      <c r="BK1" s="15" t="s">
        <v>73</v>
      </c>
      <c r="BL1" s="15" t="s">
        <v>86</v>
      </c>
      <c r="BM1" s="15" t="s">
        <v>147</v>
      </c>
      <c r="BN1" s="15" t="s">
        <v>95</v>
      </c>
      <c r="BO1" s="15" t="s">
        <v>231</v>
      </c>
      <c r="BP1" s="15" t="s">
        <v>27</v>
      </c>
      <c r="BQ1" s="15" t="s">
        <v>28</v>
      </c>
      <c r="BR1" s="15" t="s">
        <v>29</v>
      </c>
      <c r="BS1" s="15" t="s">
        <v>30</v>
      </c>
      <c r="BT1" s="15" t="s">
        <v>18</v>
      </c>
      <c r="BU1" s="15" t="s">
        <v>32</v>
      </c>
      <c r="BV1" s="15" t="s">
        <v>93</v>
      </c>
      <c r="BW1" s="15" t="s">
        <v>37</v>
      </c>
      <c r="BX1" s="15" t="s">
        <v>19</v>
      </c>
      <c r="BY1" s="15" t="s">
        <v>20</v>
      </c>
      <c r="BZ1" s="15" t="s">
        <v>128</v>
      </c>
      <c r="CA1" s="15" t="s">
        <v>127</v>
      </c>
      <c r="CB1" s="15" t="s">
        <v>21</v>
      </c>
      <c r="CC1" s="15" t="s">
        <v>129</v>
      </c>
      <c r="CD1" s="15" t="s">
        <v>89</v>
      </c>
      <c r="CE1" s="15" t="s">
        <v>229</v>
      </c>
      <c r="CF1" s="15" t="s">
        <v>230</v>
      </c>
      <c r="CG1" s="15" t="s">
        <v>231</v>
      </c>
      <c r="CH1" s="15" t="s">
        <v>87</v>
      </c>
      <c r="CI1" s="15" t="s">
        <v>92</v>
      </c>
      <c r="CJ1" s="15" t="s">
        <v>88</v>
      </c>
      <c r="CK1" s="15" t="s">
        <v>90</v>
      </c>
      <c r="CL1" s="15" t="s">
        <v>148</v>
      </c>
      <c r="CM1" s="15" t="s">
        <v>23</v>
      </c>
      <c r="CN1" s="15" t="s">
        <v>24</v>
      </c>
      <c r="CO1" s="15" t="s">
        <v>25</v>
      </c>
      <c r="CP1" s="15" t="s">
        <v>130</v>
      </c>
      <c r="CQ1" s="15" t="s">
        <v>131</v>
      </c>
      <c r="CR1" s="15" t="s">
        <v>132</v>
      </c>
      <c r="CS1" s="15" t="s">
        <v>26</v>
      </c>
      <c r="CT1" s="55" t="s">
        <v>225</v>
      </c>
      <c r="CU1" s="55" t="s">
        <v>217</v>
      </c>
      <c r="CV1" s="55" t="s">
        <v>218</v>
      </c>
      <c r="CW1" s="55" t="s">
        <v>219</v>
      </c>
      <c r="CX1" s="55" t="s">
        <v>220</v>
      </c>
      <c r="CY1" s="55" t="s">
        <v>226</v>
      </c>
      <c r="CZ1" s="55" t="s">
        <v>227</v>
      </c>
      <c r="DA1" s="55" t="s">
        <v>228</v>
      </c>
      <c r="DB1" s="55" t="s">
        <v>253</v>
      </c>
      <c r="DC1" s="55" t="s">
        <v>221</v>
      </c>
      <c r="DD1" s="55" t="s">
        <v>222</v>
      </c>
      <c r="DE1" s="55" t="s">
        <v>223</v>
      </c>
      <c r="DF1" s="55" t="s">
        <v>224</v>
      </c>
      <c r="DG1" s="10" t="s">
        <v>15</v>
      </c>
      <c r="DH1" s="10" t="s">
        <v>74</v>
      </c>
      <c r="DI1" s="10" t="s">
        <v>53</v>
      </c>
      <c r="DJ1" s="10" t="s">
        <v>52</v>
      </c>
      <c r="DK1" s="10" t="s">
        <v>54</v>
      </c>
      <c r="DL1" s="10" t="s">
        <v>76</v>
      </c>
      <c r="DM1" s="10" t="s">
        <v>185</v>
      </c>
      <c r="DN1" s="10" t="s">
        <v>55</v>
      </c>
      <c r="DO1" s="10" t="s">
        <v>56</v>
      </c>
      <c r="DP1" s="10" t="s">
        <v>57</v>
      </c>
      <c r="DQ1" s="10" t="s">
        <v>58</v>
      </c>
      <c r="DR1" s="10" t="s">
        <v>77</v>
      </c>
      <c r="DS1" s="10" t="s">
        <v>59</v>
      </c>
      <c r="DT1" s="10" t="s">
        <v>78</v>
      </c>
      <c r="DU1" s="10" t="s">
        <v>60</v>
      </c>
      <c r="DV1" s="10" t="s">
        <v>79</v>
      </c>
      <c r="DW1" s="10" t="s">
        <v>61</v>
      </c>
      <c r="DX1" s="10" t="s">
        <v>81</v>
      </c>
      <c r="DY1" s="10" t="s">
        <v>62</v>
      </c>
      <c r="DZ1" s="10" t="s">
        <v>80</v>
      </c>
      <c r="EA1" s="10" t="s">
        <v>63</v>
      </c>
      <c r="EB1" s="10" t="s">
        <v>64</v>
      </c>
      <c r="EC1" s="10" t="s">
        <v>65</v>
      </c>
      <c r="ED1" s="10" t="s">
        <v>83</v>
      </c>
      <c r="EE1" s="10" t="s">
        <v>49</v>
      </c>
      <c r="EF1" s="10" t="s">
        <v>85</v>
      </c>
      <c r="EG1" s="10" t="s">
        <v>66</v>
      </c>
      <c r="EH1" s="10" t="s">
        <v>67</v>
      </c>
      <c r="EI1" s="10" t="s">
        <v>68</v>
      </c>
      <c r="EJ1" s="10" t="s">
        <v>69</v>
      </c>
      <c r="EK1" s="24" t="s">
        <v>104</v>
      </c>
      <c r="EL1" s="24" t="s">
        <v>105</v>
      </c>
      <c r="EM1" s="24" t="s">
        <v>106</v>
      </c>
      <c r="EN1" s="24" t="s">
        <v>98</v>
      </c>
      <c r="EO1" s="24" t="s">
        <v>99</v>
      </c>
      <c r="EP1" s="24" t="s">
        <v>142</v>
      </c>
      <c r="EQ1" s="24" t="s">
        <v>143</v>
      </c>
      <c r="ER1" s="24" t="s">
        <v>144</v>
      </c>
      <c r="ES1" s="24" t="s">
        <v>145</v>
      </c>
      <c r="ET1" s="24" t="s">
        <v>146</v>
      </c>
      <c r="EU1" s="24" t="s">
        <v>100</v>
      </c>
      <c r="EV1" s="24" t="s">
        <v>101</v>
      </c>
      <c r="EW1" s="24" t="s">
        <v>107</v>
      </c>
      <c r="EX1" s="24" t="s">
        <v>108</v>
      </c>
      <c r="EY1" s="24" t="s">
        <v>109</v>
      </c>
      <c r="EZ1" s="24" t="s">
        <v>72</v>
      </c>
      <c r="FA1" s="24" t="s">
        <v>118</v>
      </c>
      <c r="FB1" s="24" t="s">
        <v>112</v>
      </c>
      <c r="FC1" s="24" t="s">
        <v>86</v>
      </c>
      <c r="FD1" s="24" t="s">
        <v>95</v>
      </c>
      <c r="FE1" s="24" t="s">
        <v>27</v>
      </c>
      <c r="FF1" s="24" t="s">
        <v>28</v>
      </c>
      <c r="FG1" s="24" t="s">
        <v>29</v>
      </c>
      <c r="FH1" s="24" t="s">
        <v>30</v>
      </c>
      <c r="FI1" s="24" t="s">
        <v>102</v>
      </c>
      <c r="FJ1" s="24" t="s">
        <v>103</v>
      </c>
      <c r="FK1" s="24" t="s">
        <v>121</v>
      </c>
      <c r="FL1" s="24" t="s">
        <v>37</v>
      </c>
      <c r="FM1" s="24" t="s">
        <v>114</v>
      </c>
      <c r="FN1" s="24" t="s">
        <v>115</v>
      </c>
      <c r="FO1" s="24" t="s">
        <v>120</v>
      </c>
      <c r="FP1" s="24" t="s">
        <v>110</v>
      </c>
      <c r="FQ1" s="24" t="s">
        <v>186</v>
      </c>
      <c r="FR1" s="24" t="s">
        <v>187</v>
      </c>
      <c r="FS1" s="24" t="s">
        <v>116</v>
      </c>
      <c r="FT1" s="24" t="s">
        <v>117</v>
      </c>
      <c r="FU1" s="24" t="s">
        <v>113</v>
      </c>
      <c r="FV1" s="24" t="s">
        <v>119</v>
      </c>
      <c r="FW1" s="24" t="s">
        <v>122</v>
      </c>
      <c r="FX1" s="24" t="s">
        <v>24</v>
      </c>
      <c r="FY1" s="24" t="s">
        <v>111</v>
      </c>
      <c r="FZ1" s="24" t="s">
        <v>26</v>
      </c>
      <c r="GA1" s="15" t="s">
        <v>203</v>
      </c>
      <c r="GB1" s="15" t="s">
        <v>204</v>
      </c>
      <c r="GC1" s="15" t="s">
        <v>205</v>
      </c>
      <c r="GD1" s="15" t="s">
        <v>246</v>
      </c>
      <c r="GE1" s="15" t="s">
        <v>206</v>
      </c>
      <c r="GF1" s="15" t="s">
        <v>207</v>
      </c>
      <c r="GG1" s="15" t="s">
        <v>208</v>
      </c>
      <c r="GH1" s="50" t="s">
        <v>209</v>
      </c>
      <c r="GI1" s="50" t="s">
        <v>214</v>
      </c>
      <c r="GJ1" s="50" t="s">
        <v>210</v>
      </c>
      <c r="GK1" s="50" t="s">
        <v>211</v>
      </c>
      <c r="GL1" s="50" t="s">
        <v>212</v>
      </c>
      <c r="GM1" s="50" t="s">
        <v>213</v>
      </c>
      <c r="GN1" s="2" t="s">
        <v>188</v>
      </c>
      <c r="GO1" s="2" t="s">
        <v>189</v>
      </c>
      <c r="GP1" s="2" t="s">
        <v>190</v>
      </c>
      <c r="GQ1" s="2" t="s">
        <v>191</v>
      </c>
      <c r="GR1" s="2" t="s">
        <v>249</v>
      </c>
      <c r="GS1" s="2" t="s">
        <v>250</v>
      </c>
      <c r="GT1" s="2" t="s">
        <v>202</v>
      </c>
      <c r="GU1" s="2" t="s">
        <v>198</v>
      </c>
      <c r="GV1" s="2" t="s">
        <v>199</v>
      </c>
      <c r="GW1" s="2" t="s">
        <v>200</v>
      </c>
      <c r="GX1" s="2" t="s">
        <v>201</v>
      </c>
      <c r="GY1" s="2" t="s">
        <v>250</v>
      </c>
    </row>
    <row r="2" spans="1:207" x14ac:dyDescent="0.35">
      <c r="A2">
        <v>1</v>
      </c>
      <c r="B2" t="s">
        <v>155</v>
      </c>
      <c r="C2" t="s">
        <v>241</v>
      </c>
      <c r="E2" t="s">
        <v>43</v>
      </c>
      <c r="F2">
        <v>73</v>
      </c>
      <c r="G2">
        <v>1.83</v>
      </c>
      <c r="H2" s="23">
        <v>88.2</v>
      </c>
      <c r="I2" s="23">
        <f>H2/POWER(G2,2)</f>
        <v>26.3370061811341</v>
      </c>
      <c r="J2" s="6">
        <v>4.5</v>
      </c>
      <c r="K2" s="98">
        <v>3.5</v>
      </c>
      <c r="L2" s="6">
        <v>27.38</v>
      </c>
      <c r="M2" s="7">
        <f t="shared" ref="M2:M16" si="0">Q2/L2</f>
        <v>0.50146092037983936</v>
      </c>
      <c r="N2" s="7">
        <f t="shared" ref="N2:N16" si="1">X2/L2</f>
        <v>0.41088385682980277</v>
      </c>
      <c r="O2" s="7">
        <f t="shared" ref="O2:O16" si="2">X2/Q2</f>
        <v>0.81937363437727606</v>
      </c>
      <c r="P2" s="7">
        <f>AA2/Q2</f>
        <v>0.86598689002185003</v>
      </c>
      <c r="Q2" s="4">
        <v>13.73</v>
      </c>
      <c r="R2" s="71">
        <f>Q2*110%</f>
        <v>15.103000000000002</v>
      </c>
      <c r="S2" s="4">
        <f t="shared" ref="S2:S16" si="3">Q2/3.5</f>
        <v>3.922857142857143</v>
      </c>
      <c r="T2" s="4">
        <f t="shared" ref="T2:T16" si="4">Q2/K2</f>
        <v>3.922857142857143</v>
      </c>
      <c r="U2" s="1">
        <v>1.18</v>
      </c>
      <c r="V2" s="1">
        <v>110</v>
      </c>
      <c r="W2" s="1">
        <f>11*60+20</f>
        <v>680</v>
      </c>
      <c r="X2" s="1">
        <v>11.25</v>
      </c>
      <c r="Y2" s="1">
        <v>40</v>
      </c>
      <c r="Z2" s="1">
        <v>260</v>
      </c>
      <c r="AA2" s="1">
        <v>11.89</v>
      </c>
      <c r="AB2" s="1">
        <v>60</v>
      </c>
      <c r="AC2" s="1">
        <v>340</v>
      </c>
      <c r="AD2" s="1">
        <v>28.5</v>
      </c>
      <c r="AF2" s="1">
        <v>65</v>
      </c>
      <c r="AG2" s="1">
        <v>106</v>
      </c>
      <c r="AH2" s="1">
        <v>115</v>
      </c>
      <c r="AI2" s="1">
        <v>154</v>
      </c>
      <c r="AJ2" s="34">
        <f>AI2*105%</f>
        <v>161.70000000000002</v>
      </c>
      <c r="AK2" s="18">
        <v>3.89</v>
      </c>
      <c r="AL2" s="18">
        <v>16.690000000000001</v>
      </c>
      <c r="AM2" s="17">
        <f t="shared" ref="AM2:AM16" si="5">AL2/Q2</f>
        <v>1.2155863073561544</v>
      </c>
      <c r="AN2" s="33">
        <f>AL2/R2</f>
        <v>1.1050784612328677</v>
      </c>
      <c r="AO2" s="18">
        <f t="shared" ref="AO2:AO16" si="6">AL2/3.5</f>
        <v>4.7685714285714287</v>
      </c>
      <c r="AP2" s="18">
        <f t="shared" ref="AP2:AP16" si="7">AL2/AK2</f>
        <v>4.2904884318766072</v>
      </c>
      <c r="AQ2" s="19">
        <v>1.03</v>
      </c>
      <c r="AR2" s="16">
        <v>14.48</v>
      </c>
      <c r="AS2" s="16">
        <v>14.58</v>
      </c>
      <c r="AT2" s="18">
        <f t="shared" ref="AT2:AT16" si="8">AR2/AK2</f>
        <v>3.7223650385604112</v>
      </c>
      <c r="AU2" s="18">
        <f>AS2/K2</f>
        <v>4.1657142857142855</v>
      </c>
      <c r="AV2" s="18">
        <f>AVERAGE(AT2:AU2)</f>
        <v>3.9440396621373486</v>
      </c>
      <c r="AW2" s="17">
        <f t="shared" ref="AW2:AW16" si="9">AS2/Q2</f>
        <v>1.0619082301529497</v>
      </c>
      <c r="AX2" s="17">
        <f t="shared" ref="AX2:AX16" si="10">AVERAGE(AR2:AS2)/Q2</f>
        <v>1.0582665695557174</v>
      </c>
      <c r="AY2" s="33">
        <f>AVERAGE(AR2:AS2)/R2</f>
        <v>0.9620605177779249</v>
      </c>
      <c r="AZ2" s="16">
        <v>13.34</v>
      </c>
      <c r="BA2" s="17">
        <f>(AZ2-K2)/(Q2-K2)</f>
        <v>0.9618768328445747</v>
      </c>
      <c r="BB2" s="17">
        <f t="shared" ref="BB2:BB16" si="11">AZ2/Q2</f>
        <v>0.97159504734158775</v>
      </c>
      <c r="BC2" s="33">
        <f>AZ2/R2</f>
        <v>0.88326822485598877</v>
      </c>
      <c r="BD2" s="18">
        <f t="shared" ref="BD2:BD16" si="12">AZ2/3.5</f>
        <v>3.8114285714285714</v>
      </c>
      <c r="BE2" s="18">
        <f>AZ2/K2</f>
        <v>3.8114285714285714</v>
      </c>
      <c r="BF2" s="16">
        <v>0.99</v>
      </c>
      <c r="BH2" s="18">
        <f>AVERAGE(14.81,13.98)</f>
        <v>14.395</v>
      </c>
      <c r="BI2" s="18">
        <f>AVERAGE(13.82,13.99)</f>
        <v>13.905000000000001</v>
      </c>
      <c r="BJ2" s="18"/>
      <c r="BK2" s="18">
        <v>12.45</v>
      </c>
      <c r="BL2" s="18">
        <v>11.71</v>
      </c>
      <c r="BM2" s="18">
        <v>12.11</v>
      </c>
      <c r="BP2" s="18">
        <f>AVERAGE(BH2,BL2,BM2)</f>
        <v>12.738333333333335</v>
      </c>
      <c r="BQ2" s="18">
        <f>AVERAGE(BI2,BK2)</f>
        <v>13.1775</v>
      </c>
      <c r="BR2" s="18">
        <f>AVERAGE(14.5,13.73,11.89)</f>
        <v>13.373333333333335</v>
      </c>
      <c r="BS2" s="18">
        <v>7.24</v>
      </c>
      <c r="BT2" s="16">
        <v>61</v>
      </c>
      <c r="BU2" s="16">
        <v>163</v>
      </c>
      <c r="BV2" s="17">
        <f t="shared" ref="BV2:BV15" si="13">BU2/AI2</f>
        <v>1.0584415584415585</v>
      </c>
      <c r="BW2" s="16" t="s">
        <v>38</v>
      </c>
      <c r="BX2" s="16">
        <v>117</v>
      </c>
      <c r="BY2" s="16">
        <v>120</v>
      </c>
      <c r="BZ2" s="17">
        <f>BY2/AI2</f>
        <v>0.77922077922077926</v>
      </c>
      <c r="CA2" s="17">
        <f>AVERAGE(BX2:BY2)/AI2</f>
        <v>0.76948051948051943</v>
      </c>
      <c r="CB2" s="16">
        <v>130</v>
      </c>
      <c r="CC2" s="17">
        <f>CB2/AI2</f>
        <v>0.8441558441558441</v>
      </c>
      <c r="CE2" s="16">
        <f>AVERAGE(129,137)</f>
        <v>133</v>
      </c>
      <c r="CH2" s="20">
        <f>AVERAGE(121,126)</f>
        <v>123.5</v>
      </c>
      <c r="CJ2" s="16">
        <v>120</v>
      </c>
      <c r="CK2" s="16">
        <v>126</v>
      </c>
      <c r="CL2" s="16">
        <v>133</v>
      </c>
      <c r="CM2" s="20">
        <f>AVERAGE(CE2,CK2:CL2)</f>
        <v>130.66666666666666</v>
      </c>
      <c r="CN2" s="20">
        <f>AVERAGE(CH2,CJ2)</f>
        <v>121.75</v>
      </c>
      <c r="CO2" s="20">
        <f>AVERAGE(129,142,132)</f>
        <v>134.33333333333334</v>
      </c>
      <c r="CP2" s="17">
        <f t="shared" ref="CP2:CP15" si="14">CM2/AI2</f>
        <v>0.8484848484848484</v>
      </c>
      <c r="CQ2" s="17">
        <f t="shared" ref="CQ2:CQ15" si="15">CN2/AI2</f>
        <v>0.79058441558441561</v>
      </c>
      <c r="CR2" s="17">
        <f t="shared" ref="CR2:CR15" si="16">CO2/AI2</f>
        <v>0.87229437229437234</v>
      </c>
      <c r="CS2" s="16">
        <v>125</v>
      </c>
      <c r="CT2" s="56" t="s">
        <v>75</v>
      </c>
      <c r="CU2" s="57">
        <f t="shared" ref="CU2:CU16" si="17">BH2/K2</f>
        <v>4.112857142857143</v>
      </c>
      <c r="CV2" s="57">
        <f t="shared" ref="CV2:CV15" si="18">BI2/K2</f>
        <v>3.9728571428571433</v>
      </c>
      <c r="CW2" s="56" t="s">
        <v>75</v>
      </c>
      <c r="CX2" s="57">
        <f t="shared" ref="CX2:CX16" si="19">BK2/K2</f>
        <v>3.5571428571428569</v>
      </c>
      <c r="CY2" s="57">
        <f>BL2/K2</f>
        <v>3.3457142857142861</v>
      </c>
      <c r="CZ2" s="57">
        <f t="shared" ref="CZ2:CZ15" si="20">BM2/K2</f>
        <v>3.46</v>
      </c>
      <c r="DA2" s="57"/>
      <c r="DB2" s="57"/>
      <c r="DC2" s="57">
        <f t="shared" ref="DC2:DC15" si="21">BP2/K2</f>
        <v>3.6395238095238098</v>
      </c>
      <c r="DD2" s="57">
        <f t="shared" ref="DD2:DD16" si="22">BQ2/K2</f>
        <v>3.7650000000000001</v>
      </c>
      <c r="DE2" s="57">
        <f t="shared" ref="DE2:DE15" si="23">BR2/K2</f>
        <v>3.8209523809523813</v>
      </c>
      <c r="DF2" s="57">
        <f t="shared" ref="DF2:DF15" si="24">BS2/K2</f>
        <v>2.0685714285714285</v>
      </c>
      <c r="DG2" s="13">
        <v>91.05</v>
      </c>
      <c r="DH2" s="13">
        <f>DG2-H2</f>
        <v>2.8499999999999943</v>
      </c>
      <c r="DI2" s="12">
        <v>3.81</v>
      </c>
      <c r="DJ2" s="12">
        <v>3.81</v>
      </c>
      <c r="DK2" s="12">
        <v>13.57</v>
      </c>
      <c r="DL2" s="14">
        <f>(DK2-Q2)/Q2*100</f>
        <v>-1.165331391114349</v>
      </c>
      <c r="DM2" s="44">
        <f>DK2/L2</f>
        <v>0.49561723886048215</v>
      </c>
      <c r="DN2" s="14">
        <f>DK2/3.5</f>
        <v>3.8771428571428572</v>
      </c>
      <c r="DO2" s="14">
        <f>DK2/DJ2</f>
        <v>3.5616797900262469</v>
      </c>
      <c r="DP2" s="12">
        <v>1.33</v>
      </c>
      <c r="DQ2" s="12">
        <v>120</v>
      </c>
      <c r="DR2" s="12">
        <f>DQ2-V2</f>
        <v>10</v>
      </c>
      <c r="DS2" s="12">
        <f>11*60+30</f>
        <v>690</v>
      </c>
      <c r="DT2" s="12">
        <f>DS2-W2</f>
        <v>10</v>
      </c>
      <c r="DU2" s="22">
        <v>11</v>
      </c>
      <c r="DV2" s="12">
        <f>DU2-X2</f>
        <v>-0.25</v>
      </c>
      <c r="DW2" s="12">
        <v>60</v>
      </c>
      <c r="DX2" s="12">
        <f>DW2-Y2</f>
        <v>20</v>
      </c>
      <c r="DY2" s="12">
        <f>9*60</f>
        <v>540</v>
      </c>
      <c r="DZ2" s="12">
        <f>DY2-Z2</f>
        <v>280</v>
      </c>
      <c r="EE2" s="12">
        <v>35.24</v>
      </c>
      <c r="EF2" s="12">
        <f>EE2-AD2</f>
        <v>6.740000000000002</v>
      </c>
      <c r="EG2" s="12">
        <v>60</v>
      </c>
      <c r="EH2" s="12">
        <v>107</v>
      </c>
      <c r="EJ2" s="12">
        <v>147</v>
      </c>
      <c r="EM2" s="26"/>
      <c r="EN2" s="27"/>
      <c r="EO2" s="27"/>
      <c r="ET2" s="26"/>
      <c r="EU2" s="27"/>
      <c r="EV2" s="27"/>
      <c r="FK2" s="26"/>
      <c r="GA2" s="16">
        <v>11</v>
      </c>
      <c r="GB2" s="16">
        <v>15</v>
      </c>
      <c r="GC2" s="20">
        <f>AVERAGE(13,11,13,15,13,13,13,13,13,15)</f>
        <v>13.2</v>
      </c>
      <c r="GD2" s="20"/>
      <c r="GE2" s="16">
        <v>5</v>
      </c>
      <c r="GF2" s="16">
        <v>5</v>
      </c>
      <c r="GG2" s="16">
        <v>5</v>
      </c>
      <c r="GH2" s="64"/>
      <c r="GI2" s="64"/>
      <c r="GJ2" s="64"/>
      <c r="GK2" s="64"/>
      <c r="GL2" s="64"/>
      <c r="GM2" s="64"/>
      <c r="GN2" s="53">
        <v>8318</v>
      </c>
      <c r="GO2" s="48">
        <v>17.600000000000001</v>
      </c>
      <c r="GP2" s="48">
        <v>4.8</v>
      </c>
      <c r="GQ2" s="48">
        <v>1.7</v>
      </c>
      <c r="GR2" s="61">
        <v>34</v>
      </c>
      <c r="GS2" s="94">
        <f>GR2*H2</f>
        <v>2998.8</v>
      </c>
      <c r="GT2" s="64"/>
      <c r="GU2" s="64"/>
      <c r="GV2" s="64"/>
      <c r="GW2" s="64"/>
      <c r="GX2" s="64"/>
      <c r="GY2" s="64"/>
    </row>
    <row r="3" spans="1:207" x14ac:dyDescent="0.35">
      <c r="A3">
        <v>2</v>
      </c>
      <c r="B3" t="s">
        <v>156</v>
      </c>
      <c r="C3" t="s">
        <v>240</v>
      </c>
      <c r="D3" t="s">
        <v>160</v>
      </c>
      <c r="E3" t="s">
        <v>44</v>
      </c>
      <c r="F3">
        <v>74</v>
      </c>
      <c r="G3">
        <v>1.68</v>
      </c>
      <c r="H3" s="23">
        <v>78.2</v>
      </c>
      <c r="I3" s="23">
        <f t="shared" ref="I3:I16" si="25">H3/POWER(G3,2)</f>
        <v>27.706916099773249</v>
      </c>
      <c r="J3" s="6">
        <v>3.1</v>
      </c>
      <c r="K3" s="98">
        <v>3.5</v>
      </c>
      <c r="L3" s="6">
        <v>15.84</v>
      </c>
      <c r="M3" s="7">
        <f t="shared" si="0"/>
        <v>0.88888888888888895</v>
      </c>
      <c r="N3" s="7">
        <f t="shared" si="1"/>
        <v>0.4633838383838384</v>
      </c>
      <c r="O3" s="7">
        <f t="shared" si="2"/>
        <v>0.52130681818181812</v>
      </c>
      <c r="P3" s="7">
        <f>AA3/Q3</f>
        <v>0.86576704545454541</v>
      </c>
      <c r="Q3" s="4">
        <v>14.08</v>
      </c>
      <c r="R3" s="71">
        <f t="shared" ref="R3:R16" si="26">Q3*110%</f>
        <v>15.488000000000001</v>
      </c>
      <c r="S3" s="4">
        <f t="shared" si="3"/>
        <v>4.0228571428571431</v>
      </c>
      <c r="T3" s="4">
        <f t="shared" si="4"/>
        <v>4.0228571428571431</v>
      </c>
      <c r="U3" s="1">
        <v>1.27</v>
      </c>
      <c r="V3" s="1">
        <v>50</v>
      </c>
      <c r="W3" s="1">
        <v>310</v>
      </c>
      <c r="X3" s="1">
        <v>7.34</v>
      </c>
      <c r="Y3" s="1">
        <v>10</v>
      </c>
      <c r="Z3" s="9">
        <v>90</v>
      </c>
      <c r="AA3" s="1">
        <v>12.19</v>
      </c>
      <c r="AB3" s="1">
        <v>40</v>
      </c>
      <c r="AC3" s="9">
        <f>4*60+20</f>
        <v>260</v>
      </c>
      <c r="AD3" s="1">
        <v>25.11</v>
      </c>
      <c r="AE3" s="1" t="s">
        <v>161</v>
      </c>
      <c r="AF3" s="1">
        <v>66</v>
      </c>
      <c r="AG3" s="1">
        <v>75</v>
      </c>
      <c r="AH3" s="1">
        <v>81</v>
      </c>
      <c r="AI3" s="1">
        <v>86</v>
      </c>
      <c r="AJ3" s="34">
        <f t="shared" ref="AJ3:AJ16" si="27">AI3*105%</f>
        <v>90.3</v>
      </c>
      <c r="AK3" s="18">
        <v>2.68</v>
      </c>
      <c r="AL3" s="18">
        <v>13.91</v>
      </c>
      <c r="AM3" s="17">
        <f t="shared" si="5"/>
        <v>0.98792613636363635</v>
      </c>
      <c r="AN3" s="33">
        <f t="shared" ref="AN3:AN16" si="28">AL3/R3</f>
        <v>0.89811466942148754</v>
      </c>
      <c r="AO3" s="18">
        <f t="shared" si="6"/>
        <v>3.9742857142857142</v>
      </c>
      <c r="AP3" s="18">
        <f t="shared" si="7"/>
        <v>5.1902985074626864</v>
      </c>
      <c r="AQ3" s="19">
        <v>0.95</v>
      </c>
      <c r="AR3" s="16">
        <v>10.23</v>
      </c>
      <c r="AS3" s="16">
        <v>10.68</v>
      </c>
      <c r="AT3" s="18">
        <f t="shared" si="8"/>
        <v>3.8171641791044775</v>
      </c>
      <c r="AU3" s="18">
        <f t="shared" ref="AU3:AU16" si="29">AS3/K3</f>
        <v>3.0514285714285712</v>
      </c>
      <c r="AV3" s="18">
        <f t="shared" ref="AV3:AV16" si="30">AVERAGE(AT3:AU3)</f>
        <v>3.4342963752665243</v>
      </c>
      <c r="AW3" s="17">
        <f t="shared" si="9"/>
        <v>0.75852272727272729</v>
      </c>
      <c r="AX3" s="17">
        <f t="shared" si="10"/>
        <v>0.74254261363636365</v>
      </c>
      <c r="AY3" s="33">
        <f t="shared" ref="AY3:AY16" si="31">AVERAGE(AR3:AS3)/R3</f>
        <v>0.67503873966942141</v>
      </c>
      <c r="AZ3" s="16">
        <v>10.84</v>
      </c>
      <c r="BA3" s="17">
        <f t="shared" ref="BA3:BA16" si="32">(AZ3-K3)/(Q3-K3)</f>
        <v>0.69376181474480147</v>
      </c>
      <c r="BB3" s="17">
        <f t="shared" si="11"/>
        <v>0.76988636363636365</v>
      </c>
      <c r="BC3" s="33">
        <f t="shared" ref="BC3:BC16" si="33">AZ3/R3</f>
        <v>0.69989669421487599</v>
      </c>
      <c r="BD3" s="18">
        <f t="shared" si="12"/>
        <v>3.097142857142857</v>
      </c>
      <c r="BE3" s="18">
        <f t="shared" ref="BE3:BE16" si="34">AZ3/K3</f>
        <v>3.097142857142857</v>
      </c>
      <c r="BF3" s="16">
        <v>1.05</v>
      </c>
      <c r="BG3" s="18">
        <v>12.77</v>
      </c>
      <c r="BH3" s="18">
        <v>11.25</v>
      </c>
      <c r="BI3" s="18">
        <v>10.83</v>
      </c>
      <c r="BK3" s="18">
        <v>12.01</v>
      </c>
      <c r="BL3" s="18">
        <v>9.48</v>
      </c>
      <c r="BM3" s="18">
        <v>12.53</v>
      </c>
      <c r="BP3" s="18">
        <f>AVERAGE(BG3:BH3,BL3:BM3)</f>
        <v>11.5075</v>
      </c>
      <c r="BQ3" s="18">
        <f>AVERAGE(BI3:BK3)</f>
        <v>11.42</v>
      </c>
      <c r="BR3" s="18">
        <f>AVERAGE(9.62,10.87,10.97,8.52)</f>
        <v>9.995000000000001</v>
      </c>
      <c r="BS3" s="18">
        <v>7.42</v>
      </c>
      <c r="BT3" s="16">
        <v>66</v>
      </c>
      <c r="BU3" s="16">
        <v>94</v>
      </c>
      <c r="BV3" s="17">
        <f t="shared" si="13"/>
        <v>1.0930232558139534</v>
      </c>
      <c r="BW3" s="16" t="s">
        <v>39</v>
      </c>
      <c r="BX3" s="16">
        <v>85</v>
      </c>
      <c r="BY3" s="16">
        <v>86</v>
      </c>
      <c r="BZ3" s="17">
        <f t="shared" ref="BZ3:BZ15" si="35">BY3/AI3</f>
        <v>1</v>
      </c>
      <c r="CA3" s="17">
        <f t="shared" ref="CA3:CA15" si="36">AVERAGE(BX3:BY3)/AI3</f>
        <v>0.9941860465116279</v>
      </c>
      <c r="CB3" s="16">
        <v>89</v>
      </c>
      <c r="CC3" s="17">
        <f t="shared" ref="CC3:CC15" si="37">CB3/AI3</f>
        <v>1.0348837209302326</v>
      </c>
      <c r="CD3" s="16">
        <v>91</v>
      </c>
      <c r="CE3" s="16">
        <v>87</v>
      </c>
      <c r="CH3" s="16">
        <v>89</v>
      </c>
      <c r="CJ3" s="16">
        <v>89</v>
      </c>
      <c r="CK3" s="16">
        <v>87</v>
      </c>
      <c r="CL3" s="16">
        <v>93</v>
      </c>
      <c r="CM3" s="20">
        <f>AVERAGE(CD3:CE3,CK3:CL3)</f>
        <v>89.5</v>
      </c>
      <c r="CN3" s="16">
        <f>AVERAGE(CH3:CJ3)</f>
        <v>89</v>
      </c>
      <c r="CO3" s="20">
        <f>AVERAGE(85,87,90,88)</f>
        <v>87.5</v>
      </c>
      <c r="CP3" s="17">
        <f t="shared" si="14"/>
        <v>1.0406976744186047</v>
      </c>
      <c r="CQ3" s="17">
        <f t="shared" si="15"/>
        <v>1.0348837209302326</v>
      </c>
      <c r="CR3" s="17">
        <f t="shared" si="16"/>
        <v>1.0174418604651163</v>
      </c>
      <c r="CS3" s="16">
        <v>82</v>
      </c>
      <c r="CT3" s="57">
        <f t="shared" ref="CT3:CT16" si="38">BG3/K3</f>
        <v>3.6485714285714286</v>
      </c>
      <c r="CU3" s="57">
        <f t="shared" si="17"/>
        <v>3.2142857142857144</v>
      </c>
      <c r="CV3" s="57">
        <f t="shared" si="18"/>
        <v>3.0942857142857143</v>
      </c>
      <c r="CW3" s="57"/>
      <c r="CX3" s="57">
        <f t="shared" si="19"/>
        <v>3.4314285714285715</v>
      </c>
      <c r="CY3" s="57">
        <f>BL3/K3</f>
        <v>2.7085714285714286</v>
      </c>
      <c r="CZ3" s="57">
        <f t="shared" si="20"/>
        <v>3.5799999999999996</v>
      </c>
      <c r="DA3" s="57"/>
      <c r="DB3" s="57"/>
      <c r="DC3" s="57">
        <f t="shared" si="21"/>
        <v>3.2878571428571428</v>
      </c>
      <c r="DD3" s="57">
        <f t="shared" si="22"/>
        <v>3.2628571428571429</v>
      </c>
      <c r="DE3" s="57">
        <f t="shared" si="23"/>
        <v>2.8557142857142859</v>
      </c>
      <c r="DF3" s="57">
        <f t="shared" si="24"/>
        <v>2.12</v>
      </c>
      <c r="DG3" s="13">
        <v>78.900000000000006</v>
      </c>
      <c r="DH3" s="13">
        <f>DG3-H3</f>
        <v>0.70000000000000284</v>
      </c>
      <c r="DI3" s="12">
        <v>2.56</v>
      </c>
      <c r="DJ3" s="12">
        <v>2.56</v>
      </c>
      <c r="DK3" s="12">
        <v>12.27</v>
      </c>
      <c r="DL3" s="14">
        <f>(DK3-Q3)/Q3*100</f>
        <v>-12.85511363636364</v>
      </c>
      <c r="DM3" s="44">
        <f>DK3/L3</f>
        <v>0.77462121212121215</v>
      </c>
      <c r="DN3" s="14">
        <f>DK3/3.5</f>
        <v>3.5057142857142858</v>
      </c>
      <c r="DO3" s="14">
        <f>DK3/DJ3</f>
        <v>4.79296875</v>
      </c>
      <c r="DP3" s="12">
        <v>1.1100000000000001</v>
      </c>
      <c r="DQ3" s="12">
        <v>60</v>
      </c>
      <c r="DR3" s="12">
        <f>DQ3-V3</f>
        <v>10</v>
      </c>
      <c r="DS3" s="12">
        <v>330</v>
      </c>
      <c r="DT3" s="12">
        <f>DS3-W3</f>
        <v>20</v>
      </c>
      <c r="DU3" s="12">
        <v>7.16</v>
      </c>
      <c r="DV3" s="12">
        <f>DU3-X3</f>
        <v>-0.17999999999999972</v>
      </c>
      <c r="DW3" s="12">
        <v>30</v>
      </c>
      <c r="DX3" s="12">
        <v>10</v>
      </c>
      <c r="DY3" s="12">
        <v>170</v>
      </c>
      <c r="DZ3" s="12">
        <f>DY3-Z3</f>
        <v>80</v>
      </c>
      <c r="EA3" s="12">
        <v>12.01</v>
      </c>
      <c r="EB3" s="12">
        <v>50</v>
      </c>
      <c r="EC3" s="12">
        <v>290</v>
      </c>
      <c r="ED3" s="12">
        <f>EC3-AC3</f>
        <v>30</v>
      </c>
      <c r="EE3" s="12">
        <v>26.17</v>
      </c>
      <c r="EF3" s="12">
        <f>EE3-AD3</f>
        <v>1.0600000000000023</v>
      </c>
      <c r="EG3" s="12">
        <v>66</v>
      </c>
      <c r="EH3" s="12">
        <v>76</v>
      </c>
      <c r="EI3" s="12">
        <v>85</v>
      </c>
      <c r="EJ3" s="12">
        <v>87</v>
      </c>
      <c r="EK3" s="28">
        <v>2.2000000000000002</v>
      </c>
      <c r="EL3" s="25">
        <v>14.77</v>
      </c>
      <c r="EM3" s="26">
        <f>EL3/DK3</f>
        <v>1.2037489812550937</v>
      </c>
      <c r="EN3" s="27">
        <f>EL3/3.5</f>
        <v>4.22</v>
      </c>
      <c r="EO3" s="27">
        <f>EL3/EK3</f>
        <v>6.713636363636363</v>
      </c>
      <c r="EP3" s="25">
        <v>1.1299999999999999</v>
      </c>
      <c r="EQ3" s="25">
        <v>11.37</v>
      </c>
      <c r="ER3" s="25">
        <v>12.92</v>
      </c>
      <c r="ES3" s="25">
        <v>12.21</v>
      </c>
      <c r="ET3" s="26">
        <f>ES3/DK3</f>
        <v>0.99511002444987784</v>
      </c>
      <c r="EU3" s="27">
        <f>ES3/3.5</f>
        <v>3.4885714285714289</v>
      </c>
      <c r="EV3" s="27">
        <f>ES3/EK3</f>
        <v>5.55</v>
      </c>
      <c r="EW3" s="25">
        <v>1.1299999999999999</v>
      </c>
      <c r="EX3" s="25">
        <v>13.5</v>
      </c>
      <c r="EY3" s="25">
        <v>12.62</v>
      </c>
      <c r="EZ3" s="25">
        <v>11.48</v>
      </c>
      <c r="FA3" s="25">
        <v>12.42</v>
      </c>
      <c r="FB3" s="25">
        <v>12.05</v>
      </c>
      <c r="FC3" s="25">
        <v>12.72</v>
      </c>
      <c r="FE3" s="28">
        <f>AVERAGE(EX3,EY3,FA3,FC3,FD3)</f>
        <v>12.815</v>
      </c>
      <c r="FF3" s="28">
        <f>AVERAGE(FB3,EZ3)</f>
        <v>11.765000000000001</v>
      </c>
      <c r="FG3" s="28">
        <f>AVERAGE(12.22,11.9,11.97)</f>
        <v>12.030000000000001</v>
      </c>
      <c r="FH3" s="25">
        <v>9.34</v>
      </c>
      <c r="FI3" s="25">
        <v>62</v>
      </c>
      <c r="FJ3" s="25">
        <v>111</v>
      </c>
      <c r="FK3" s="26">
        <f>FJ3/EJ3</f>
        <v>1.2758620689655173</v>
      </c>
      <c r="FL3" s="25" t="s">
        <v>39</v>
      </c>
      <c r="FM3" s="25">
        <v>93</v>
      </c>
      <c r="FN3" s="25">
        <v>93</v>
      </c>
      <c r="FO3" s="25">
        <v>97</v>
      </c>
      <c r="FP3" s="25">
        <v>100</v>
      </c>
      <c r="FQ3" s="25">
        <v>102</v>
      </c>
      <c r="FS3" s="25">
        <v>94</v>
      </c>
      <c r="FT3" s="25">
        <v>101</v>
      </c>
      <c r="FU3" s="25">
        <v>90</v>
      </c>
      <c r="FV3" s="25">
        <v>101</v>
      </c>
      <c r="FW3" s="29">
        <f>AVERAGE(FP3:FR3,FT3,FV3)</f>
        <v>101</v>
      </c>
      <c r="FX3" s="25">
        <f>AVERAGE(FS3,FU3)</f>
        <v>92</v>
      </c>
      <c r="FY3" s="29">
        <f>AVERAGE(98,99,103)</f>
        <v>100</v>
      </c>
      <c r="FZ3" s="25">
        <v>95</v>
      </c>
      <c r="GA3" s="16">
        <v>10</v>
      </c>
      <c r="GB3" s="16">
        <v>13</v>
      </c>
      <c r="GC3" s="20">
        <f>AVERAGE(11,11,13,13,13,10,13)</f>
        <v>12</v>
      </c>
      <c r="GD3" s="20"/>
      <c r="GE3" s="16">
        <v>4</v>
      </c>
      <c r="GF3" s="16">
        <v>5</v>
      </c>
      <c r="GG3" s="16">
        <v>5</v>
      </c>
      <c r="GH3" s="51">
        <v>13</v>
      </c>
      <c r="GI3" s="51">
        <v>17</v>
      </c>
      <c r="GJ3" s="51">
        <f>AVERAGE(13,17,13,13)</f>
        <v>14</v>
      </c>
      <c r="GK3" s="51">
        <v>4</v>
      </c>
      <c r="GL3" s="51">
        <v>5</v>
      </c>
      <c r="GM3" s="58">
        <f>AVERAGE(4,5,5,5)</f>
        <v>4.75</v>
      </c>
      <c r="GN3" s="53">
        <v>1650</v>
      </c>
      <c r="GO3">
        <v>20.399999999999999</v>
      </c>
      <c r="GP3">
        <v>3.1</v>
      </c>
      <c r="GQ3">
        <v>0.41</v>
      </c>
      <c r="GR3">
        <v>31.1</v>
      </c>
      <c r="GS3" s="94">
        <f>GR3*H3</f>
        <v>2432.02</v>
      </c>
      <c r="GT3">
        <v>2993</v>
      </c>
      <c r="GU3">
        <v>18.100000000000001</v>
      </c>
      <c r="GV3">
        <v>5.0999999999999996</v>
      </c>
      <c r="GW3">
        <v>0.71</v>
      </c>
      <c r="GX3" s="23">
        <v>32</v>
      </c>
      <c r="GY3" s="94">
        <f>GX3*DG3</f>
        <v>2524.8000000000002</v>
      </c>
    </row>
    <row r="4" spans="1:207" ht="14.25" customHeight="1" x14ac:dyDescent="0.35">
      <c r="A4">
        <v>3</v>
      </c>
      <c r="B4" t="s">
        <v>155</v>
      </c>
      <c r="C4" t="s">
        <v>242</v>
      </c>
      <c r="D4" t="s">
        <v>159</v>
      </c>
      <c r="E4" t="s">
        <v>43</v>
      </c>
      <c r="F4">
        <v>64</v>
      </c>
      <c r="G4">
        <v>1.77</v>
      </c>
      <c r="H4" s="23">
        <v>102</v>
      </c>
      <c r="I4" s="23">
        <f t="shared" si="25"/>
        <v>32.557694149190844</v>
      </c>
      <c r="J4" s="6">
        <v>3.96</v>
      </c>
      <c r="K4" s="98">
        <v>3.5</v>
      </c>
      <c r="L4" s="6">
        <v>22.7</v>
      </c>
      <c r="M4" s="7">
        <f t="shared" si="0"/>
        <v>0.42511013215859034</v>
      </c>
      <c r="N4" s="7">
        <f t="shared" si="1"/>
        <v>0.28325991189427313</v>
      </c>
      <c r="O4" s="7">
        <f t="shared" si="2"/>
        <v>0.66632124352331601</v>
      </c>
      <c r="P4" s="70" t="s">
        <v>75</v>
      </c>
      <c r="Q4" s="4">
        <v>9.65</v>
      </c>
      <c r="R4" s="71">
        <f t="shared" si="26"/>
        <v>10.615000000000002</v>
      </c>
      <c r="S4" s="4">
        <f t="shared" si="3"/>
        <v>2.7571428571428571</v>
      </c>
      <c r="T4" s="4">
        <f t="shared" si="4"/>
        <v>2.7571428571428571</v>
      </c>
      <c r="U4" s="1">
        <v>1.08</v>
      </c>
      <c r="V4" s="1">
        <v>60</v>
      </c>
      <c r="W4" s="1">
        <v>390</v>
      </c>
      <c r="X4" s="1">
        <v>6.43</v>
      </c>
      <c r="Y4" s="1">
        <v>10</v>
      </c>
      <c r="Z4" s="9">
        <v>80</v>
      </c>
      <c r="AA4" s="21" t="s">
        <v>96</v>
      </c>
      <c r="AB4" s="21" t="s">
        <v>96</v>
      </c>
      <c r="AC4" s="21" t="s">
        <v>96</v>
      </c>
      <c r="AD4" s="1">
        <v>35.22</v>
      </c>
      <c r="AF4" s="1">
        <v>76</v>
      </c>
      <c r="AG4" s="1">
        <v>81</v>
      </c>
      <c r="AH4" s="21" t="s">
        <v>96</v>
      </c>
      <c r="AI4" s="1">
        <v>112</v>
      </c>
      <c r="AJ4" s="34">
        <f t="shared" si="27"/>
        <v>117.60000000000001</v>
      </c>
      <c r="AK4" s="18">
        <v>3.85</v>
      </c>
      <c r="AL4" s="18">
        <v>10.97</v>
      </c>
      <c r="AM4" s="17">
        <f t="shared" si="5"/>
        <v>1.1367875647668395</v>
      </c>
      <c r="AN4" s="33">
        <f t="shared" si="28"/>
        <v>1.0334432406971266</v>
      </c>
      <c r="AO4" s="18">
        <f t="shared" si="6"/>
        <v>3.1342857142857143</v>
      </c>
      <c r="AP4" s="18">
        <f t="shared" si="7"/>
        <v>2.8493506493506495</v>
      </c>
      <c r="AQ4" s="19">
        <v>1.03</v>
      </c>
      <c r="AR4" s="16">
        <v>8.84</v>
      </c>
      <c r="AS4" s="16">
        <v>9.06</v>
      </c>
      <c r="AT4" s="18">
        <f t="shared" si="8"/>
        <v>2.296103896103896</v>
      </c>
      <c r="AU4" s="18">
        <f t="shared" si="29"/>
        <v>2.5885714285714285</v>
      </c>
      <c r="AV4" s="18">
        <f t="shared" si="30"/>
        <v>2.4423376623376623</v>
      </c>
      <c r="AW4" s="17">
        <f t="shared" si="9"/>
        <v>0.93886010362694305</v>
      </c>
      <c r="AX4" s="17">
        <f t="shared" si="10"/>
        <v>0.92746113989637291</v>
      </c>
      <c r="AY4" s="33">
        <f t="shared" si="31"/>
        <v>0.84314649081488435</v>
      </c>
      <c r="AZ4" s="16">
        <v>8.4700000000000006</v>
      </c>
      <c r="BA4" s="17">
        <f t="shared" si="32"/>
        <v>0.8081300813008131</v>
      </c>
      <c r="BB4" s="17">
        <f t="shared" si="11"/>
        <v>0.877720207253886</v>
      </c>
      <c r="BC4" s="33">
        <f t="shared" si="33"/>
        <v>0.79792746113989632</v>
      </c>
      <c r="BD4" s="18">
        <f t="shared" si="12"/>
        <v>2.4200000000000004</v>
      </c>
      <c r="BE4" s="18">
        <f t="shared" si="34"/>
        <v>2.4200000000000004</v>
      </c>
      <c r="BF4" s="16">
        <v>1.1399999999999999</v>
      </c>
      <c r="BG4" s="18">
        <v>9.58</v>
      </c>
      <c r="BH4" s="18">
        <v>7.67</v>
      </c>
      <c r="BI4" s="18">
        <v>9.43</v>
      </c>
      <c r="BK4" s="18">
        <v>9.06</v>
      </c>
      <c r="BL4" s="18"/>
      <c r="BM4" s="18">
        <v>12.01</v>
      </c>
      <c r="BP4" s="18">
        <f>AVERAGE(BG4:BH4)</f>
        <v>8.625</v>
      </c>
      <c r="BQ4" s="18">
        <f>AVERAGE(BI4:BK4)</f>
        <v>9.245000000000001</v>
      </c>
      <c r="BR4" s="18">
        <v>8.85</v>
      </c>
      <c r="BS4" s="18">
        <v>8.02</v>
      </c>
      <c r="BT4" s="16">
        <v>73</v>
      </c>
      <c r="BU4" s="16">
        <v>96</v>
      </c>
      <c r="BV4" s="17">
        <f t="shared" si="13"/>
        <v>0.8571428571428571</v>
      </c>
      <c r="BW4" s="16" t="s">
        <v>39</v>
      </c>
      <c r="BX4" s="16">
        <v>77</v>
      </c>
      <c r="BY4" s="16">
        <v>79</v>
      </c>
      <c r="BZ4" s="17">
        <f t="shared" si="35"/>
        <v>0.7053571428571429</v>
      </c>
      <c r="CA4" s="17">
        <f t="shared" si="36"/>
        <v>0.6964285714285714</v>
      </c>
      <c r="CB4" s="16">
        <v>85</v>
      </c>
      <c r="CC4" s="17">
        <f t="shared" si="37"/>
        <v>0.7589285714285714</v>
      </c>
      <c r="CJ4" s="16">
        <v>89</v>
      </c>
      <c r="CM4" s="16">
        <v>100</v>
      </c>
      <c r="CN4" s="16">
        <v>83</v>
      </c>
      <c r="CO4" s="16">
        <v>88</v>
      </c>
      <c r="CP4" s="17">
        <f t="shared" si="14"/>
        <v>0.8928571428571429</v>
      </c>
      <c r="CQ4" s="17">
        <f t="shared" si="15"/>
        <v>0.7410714285714286</v>
      </c>
      <c r="CR4" s="17">
        <f t="shared" si="16"/>
        <v>0.7857142857142857</v>
      </c>
      <c r="CS4" s="16">
        <v>87</v>
      </c>
      <c r="CT4" s="57">
        <f t="shared" si="38"/>
        <v>2.7371428571428571</v>
      </c>
      <c r="CU4" s="57">
        <f t="shared" si="17"/>
        <v>2.1914285714285713</v>
      </c>
      <c r="CV4" s="57">
        <f t="shared" si="18"/>
        <v>2.6942857142857144</v>
      </c>
      <c r="CW4" s="57"/>
      <c r="CX4" s="57">
        <f t="shared" si="19"/>
        <v>2.5885714285714285</v>
      </c>
      <c r="CY4" s="57" t="s">
        <v>75</v>
      </c>
      <c r="CZ4" s="57">
        <f t="shared" si="20"/>
        <v>3.4314285714285715</v>
      </c>
      <c r="DA4" s="57"/>
      <c r="DB4" s="57"/>
      <c r="DC4" s="57">
        <f t="shared" si="21"/>
        <v>2.4642857142857144</v>
      </c>
      <c r="DD4" s="57">
        <f t="shared" si="22"/>
        <v>2.6414285714285719</v>
      </c>
      <c r="DE4" s="57">
        <f t="shared" si="23"/>
        <v>2.5285714285714285</v>
      </c>
      <c r="DF4" s="57">
        <f t="shared" si="24"/>
        <v>2.2914285714285714</v>
      </c>
      <c r="DG4" s="13">
        <v>100.5</v>
      </c>
      <c r="DH4" s="13">
        <f>DG4-H4</f>
        <v>-1.5</v>
      </c>
      <c r="DI4" s="12">
        <v>3.46</v>
      </c>
      <c r="DJ4" s="12">
        <v>3.46</v>
      </c>
      <c r="DK4" s="12">
        <v>9.41</v>
      </c>
      <c r="DL4" s="14">
        <f>(DK4-Q4)/Q4*100</f>
        <v>-2.4870466321243545</v>
      </c>
      <c r="DM4" s="44">
        <f>DK4/L4</f>
        <v>0.41453744493392075</v>
      </c>
      <c r="DN4" s="14">
        <f>DK4/3.5</f>
        <v>2.6885714285714286</v>
      </c>
      <c r="DO4" s="14">
        <f>DK4/DJ4</f>
        <v>2.7196531791907517</v>
      </c>
      <c r="DP4" s="12">
        <v>1.37</v>
      </c>
      <c r="DQ4" s="12">
        <v>70</v>
      </c>
      <c r="DR4" s="12">
        <f>DQ4-V4</f>
        <v>10</v>
      </c>
      <c r="DS4" s="12">
        <v>420</v>
      </c>
      <c r="DT4" s="12">
        <f>DS4-W4</f>
        <v>30</v>
      </c>
      <c r="DU4" s="12">
        <v>7.84</v>
      </c>
      <c r="DV4" s="12">
        <f>DU4-X4</f>
        <v>1.4100000000000001</v>
      </c>
      <c r="DW4" s="12">
        <v>30</v>
      </c>
      <c r="DX4" s="12">
        <v>10</v>
      </c>
      <c r="DY4" s="12">
        <v>110</v>
      </c>
      <c r="DZ4" s="12">
        <f>DY4-Z4</f>
        <v>30</v>
      </c>
      <c r="EA4" s="12">
        <v>8.27</v>
      </c>
      <c r="EB4" s="12">
        <v>60</v>
      </c>
      <c r="EC4" s="12">
        <f>8*60+10</f>
        <v>490</v>
      </c>
      <c r="ED4" s="12" t="s">
        <v>84</v>
      </c>
      <c r="EE4" s="12">
        <v>41.4</v>
      </c>
      <c r="EF4" s="12">
        <f>EE4-AD4</f>
        <v>6.18</v>
      </c>
      <c r="EG4" s="12">
        <v>76</v>
      </c>
      <c r="EH4" s="12">
        <v>89</v>
      </c>
      <c r="EI4" s="12">
        <v>96</v>
      </c>
      <c r="EJ4" s="12">
        <v>108</v>
      </c>
      <c r="EK4" s="28">
        <v>2.62</v>
      </c>
      <c r="EL4" s="25">
        <v>9.58</v>
      </c>
      <c r="EM4" s="26">
        <f>EL4/DK4</f>
        <v>1.0180658873538788</v>
      </c>
      <c r="EN4" s="27">
        <f>EL4/3.5</f>
        <v>2.7371428571428571</v>
      </c>
      <c r="EO4" s="27">
        <f>EL4/EK4</f>
        <v>3.6564885496183206</v>
      </c>
      <c r="EP4" s="25">
        <v>1.2</v>
      </c>
      <c r="EQ4" s="25">
        <v>5.76</v>
      </c>
      <c r="ER4" s="25">
        <v>5.82</v>
      </c>
      <c r="ES4" s="25">
        <v>7.57</v>
      </c>
      <c r="ET4" s="26">
        <f>ES4/DK4</f>
        <v>0.80446333687566418</v>
      </c>
      <c r="EU4" s="27">
        <f>ES4/3.5</f>
        <v>2.1628571428571428</v>
      </c>
      <c r="EV4" s="27">
        <f>ES4/EK4</f>
        <v>2.8893129770992365</v>
      </c>
      <c r="EW4" s="25">
        <v>1.33</v>
      </c>
      <c r="EX4" s="25">
        <v>8.9</v>
      </c>
      <c r="EY4" s="25">
        <v>8.24</v>
      </c>
      <c r="FA4" s="25">
        <v>7.78</v>
      </c>
      <c r="FB4" s="25">
        <f>AVERAGE(7.65,7.39)</f>
        <v>7.52</v>
      </c>
      <c r="FE4" s="28">
        <f>AVERAGE(EX4,EY4,FA4,FC4,FD4)</f>
        <v>8.3066666666666666</v>
      </c>
      <c r="FF4" s="28">
        <f>AVERAGE(FB4,EZ4)</f>
        <v>7.52</v>
      </c>
      <c r="FG4" s="27">
        <f>AVERAGE(6.06,7.08,7.33,6.5)</f>
        <v>6.7424999999999997</v>
      </c>
      <c r="FH4" s="25">
        <v>5.83</v>
      </c>
      <c r="FI4" s="25">
        <v>72</v>
      </c>
      <c r="FJ4" s="25">
        <v>103</v>
      </c>
      <c r="FK4" s="26">
        <f>FJ4/EJ4</f>
        <v>0.95370370370370372</v>
      </c>
      <c r="FL4" s="25" t="s">
        <v>38</v>
      </c>
      <c r="FM4" s="25">
        <v>73</v>
      </c>
      <c r="FN4" s="25">
        <v>72</v>
      </c>
      <c r="FO4" s="25">
        <v>90</v>
      </c>
      <c r="FP4" s="25">
        <v>86</v>
      </c>
      <c r="FQ4" s="25">
        <v>83</v>
      </c>
      <c r="FT4" s="25">
        <v>97</v>
      </c>
      <c r="FU4" s="29">
        <f>AVERAGE(82,97)</f>
        <v>89.5</v>
      </c>
      <c r="FW4" s="29">
        <f>AVERAGE(FP4:FR4,FT4,FV4)</f>
        <v>88.666666666666671</v>
      </c>
      <c r="FX4" s="25">
        <f>AVERAGE(FS4,FU4)</f>
        <v>89.5</v>
      </c>
      <c r="FY4" s="29">
        <f>AVERAGE(83,89, 97,96)</f>
        <v>91.25</v>
      </c>
      <c r="FZ4" s="25">
        <v>92</v>
      </c>
      <c r="GA4" s="16">
        <v>11</v>
      </c>
      <c r="GB4" s="16">
        <v>15</v>
      </c>
      <c r="GC4" s="16">
        <v>13</v>
      </c>
      <c r="GE4" s="16">
        <v>-2</v>
      </c>
      <c r="GF4" s="16">
        <v>4</v>
      </c>
      <c r="GG4" s="20">
        <f>AVERAGE(3,-2,1,2,4)</f>
        <v>1.6</v>
      </c>
      <c r="GH4" s="51">
        <v>11</v>
      </c>
      <c r="GI4" s="51">
        <v>15</v>
      </c>
      <c r="GJ4" s="51">
        <v>13</v>
      </c>
      <c r="GK4" s="51">
        <v>1</v>
      </c>
      <c r="GL4" s="51">
        <v>5</v>
      </c>
      <c r="GM4" s="58">
        <f>AVERAGE(5,4,4,1)</f>
        <v>3.5</v>
      </c>
      <c r="GN4" s="53">
        <v>4115</v>
      </c>
      <c r="GO4">
        <v>21.2</v>
      </c>
      <c r="GP4">
        <v>1.9</v>
      </c>
      <c r="GQ4">
        <v>0.92</v>
      </c>
      <c r="GR4">
        <v>31.9</v>
      </c>
      <c r="GS4" s="94">
        <f>GR4*H4</f>
        <v>3253.7999999999997</v>
      </c>
      <c r="GT4" s="95">
        <v>7184</v>
      </c>
      <c r="GU4" s="95">
        <v>19.71</v>
      </c>
      <c r="GV4" s="95">
        <v>2.62</v>
      </c>
      <c r="GW4" s="95">
        <v>1.66</v>
      </c>
      <c r="GX4" s="95">
        <v>33.200000000000003</v>
      </c>
      <c r="GY4" s="94">
        <f>GX4*DG4</f>
        <v>3336.6000000000004</v>
      </c>
    </row>
    <row r="5" spans="1:207" x14ac:dyDescent="0.35">
      <c r="A5">
        <v>4</v>
      </c>
      <c r="B5" t="s">
        <v>156</v>
      </c>
      <c r="C5" t="s">
        <v>240</v>
      </c>
      <c r="D5" t="s">
        <v>158</v>
      </c>
      <c r="E5" t="s">
        <v>43</v>
      </c>
      <c r="F5">
        <v>84</v>
      </c>
      <c r="G5">
        <v>1.74</v>
      </c>
      <c r="H5" s="23">
        <v>89.3</v>
      </c>
      <c r="I5" s="23">
        <f t="shared" si="25"/>
        <v>29.495309816356187</v>
      </c>
      <c r="J5" s="6">
        <v>3.37</v>
      </c>
      <c r="K5" s="98">
        <v>3.5</v>
      </c>
      <c r="L5" s="6">
        <v>18.53</v>
      </c>
      <c r="M5" s="7">
        <f t="shared" si="0"/>
        <v>0.52293577981651373</v>
      </c>
      <c r="N5" s="7">
        <f t="shared" si="1"/>
        <v>0.34204996709430968</v>
      </c>
      <c r="O5" s="7">
        <f t="shared" si="2"/>
        <v>0.65409555111017115</v>
      </c>
      <c r="P5" s="7">
        <f t="shared" ref="P5:P16" si="39">AA5/Q5</f>
        <v>0.73271413828689369</v>
      </c>
      <c r="Q5" s="4">
        <v>9.69</v>
      </c>
      <c r="R5" s="71">
        <f t="shared" si="26"/>
        <v>10.659000000000001</v>
      </c>
      <c r="S5" s="4">
        <f t="shared" si="3"/>
        <v>2.7685714285714282</v>
      </c>
      <c r="T5" s="4">
        <f t="shared" si="4"/>
        <v>2.7685714285714282</v>
      </c>
      <c r="U5" s="5">
        <v>1.2</v>
      </c>
      <c r="V5" s="1">
        <v>70</v>
      </c>
      <c r="W5" s="1">
        <f>6*60+33</f>
        <v>393</v>
      </c>
      <c r="X5" s="5">
        <f>0.566/H5*1000</f>
        <v>6.3381858902575585</v>
      </c>
      <c r="Y5" s="1">
        <v>20</v>
      </c>
      <c r="Z5" s="1">
        <v>140</v>
      </c>
      <c r="AA5" s="1">
        <v>7.1</v>
      </c>
      <c r="AB5" s="1">
        <v>30</v>
      </c>
      <c r="AC5" s="1">
        <v>190</v>
      </c>
      <c r="AD5" s="1">
        <v>36.25</v>
      </c>
      <c r="AE5" s="1" t="s">
        <v>82</v>
      </c>
      <c r="AF5" s="1">
        <v>71</v>
      </c>
      <c r="AG5" s="1">
        <v>91</v>
      </c>
      <c r="AH5" s="1">
        <v>94</v>
      </c>
      <c r="AI5" s="1">
        <v>98</v>
      </c>
      <c r="AJ5" s="34">
        <f t="shared" si="27"/>
        <v>102.9</v>
      </c>
      <c r="AK5" s="18">
        <v>2.21</v>
      </c>
      <c r="AL5" s="18">
        <v>10.75</v>
      </c>
      <c r="AM5" s="17">
        <f t="shared" si="5"/>
        <v>1.1093911248710011</v>
      </c>
      <c r="AN5" s="33">
        <f t="shared" si="28"/>
        <v>1.0085373862463645</v>
      </c>
      <c r="AO5" s="18">
        <f t="shared" si="6"/>
        <v>3.0714285714285716</v>
      </c>
      <c r="AP5" s="18">
        <f t="shared" si="7"/>
        <v>4.8642533936651589</v>
      </c>
      <c r="AQ5" s="19">
        <v>0.9</v>
      </c>
      <c r="AR5" s="16">
        <v>8.75</v>
      </c>
      <c r="AS5" s="16">
        <v>9.76</v>
      </c>
      <c r="AT5" s="18">
        <f t="shared" si="8"/>
        <v>3.9592760180995477</v>
      </c>
      <c r="AU5" s="18">
        <f t="shared" si="29"/>
        <v>2.7885714285714287</v>
      </c>
      <c r="AV5" s="18">
        <f t="shared" si="30"/>
        <v>3.373923723335488</v>
      </c>
      <c r="AW5" s="17">
        <f t="shared" si="9"/>
        <v>1.0072239422084623</v>
      </c>
      <c r="AX5" s="17">
        <f t="shared" si="10"/>
        <v>0.95510835913312686</v>
      </c>
      <c r="AY5" s="33">
        <f t="shared" si="31"/>
        <v>0.86828032648466069</v>
      </c>
      <c r="AZ5" s="16">
        <v>7.64</v>
      </c>
      <c r="BA5" s="17">
        <f t="shared" si="32"/>
        <v>0.66882067851373184</v>
      </c>
      <c r="BB5" s="17">
        <f t="shared" si="11"/>
        <v>0.78844169246646023</v>
      </c>
      <c r="BC5" s="33">
        <f t="shared" si="33"/>
        <v>0.71676517496950931</v>
      </c>
      <c r="BD5" s="18">
        <f t="shared" si="12"/>
        <v>2.1828571428571428</v>
      </c>
      <c r="BE5" s="18">
        <f t="shared" si="34"/>
        <v>2.1828571428571428</v>
      </c>
      <c r="BF5" s="16">
        <v>1.05</v>
      </c>
      <c r="BG5" s="18">
        <v>8.17</v>
      </c>
      <c r="BH5" s="18">
        <v>7.11</v>
      </c>
      <c r="BI5" s="18"/>
      <c r="BJ5" s="16">
        <v>5.22</v>
      </c>
      <c r="BK5" s="18">
        <v>9.19</v>
      </c>
      <c r="BL5" s="18">
        <v>6.5</v>
      </c>
      <c r="BM5" s="18">
        <v>6.26</v>
      </c>
      <c r="BP5" s="18">
        <f>AVERAGE(BG5:BH5,BL5:BM5)</f>
        <v>7.01</v>
      </c>
      <c r="BQ5" s="18">
        <f>AVERAGE(BJ5:BK5,BI5)</f>
        <v>7.2050000000000001</v>
      </c>
      <c r="BR5" s="18">
        <f>AVERAGE(9.41,8.97,7.35,7.43)</f>
        <v>8.2900000000000009</v>
      </c>
      <c r="BS5" s="18">
        <v>4.62</v>
      </c>
      <c r="BT5" s="16">
        <v>60</v>
      </c>
      <c r="BU5" s="16">
        <v>111</v>
      </c>
      <c r="BV5" s="17">
        <f t="shared" si="13"/>
        <v>1.1326530612244898</v>
      </c>
      <c r="BW5" s="16" t="s">
        <v>38</v>
      </c>
      <c r="BX5" s="16">
        <v>93</v>
      </c>
      <c r="BY5" s="16">
        <v>92</v>
      </c>
      <c r="BZ5" s="17">
        <f t="shared" si="35"/>
        <v>0.93877551020408168</v>
      </c>
      <c r="CA5" s="17">
        <f t="shared" si="36"/>
        <v>0.94387755102040816</v>
      </c>
      <c r="CB5" s="16">
        <v>89</v>
      </c>
      <c r="CC5" s="17">
        <f t="shared" si="37"/>
        <v>0.90816326530612246</v>
      </c>
      <c r="CD5" s="16">
        <v>91</v>
      </c>
      <c r="CE5" s="16">
        <v>92</v>
      </c>
      <c r="CI5" s="16">
        <v>82</v>
      </c>
      <c r="CJ5" s="16">
        <v>90</v>
      </c>
      <c r="CK5" s="16">
        <v>85</v>
      </c>
      <c r="CL5" s="16">
        <v>91</v>
      </c>
      <c r="CM5" s="20">
        <f>AVERAGE(CD5:CE5,CK5:CL5)</f>
        <v>89.75</v>
      </c>
      <c r="CN5" s="16">
        <f t="shared" ref="CN5:CN10" si="40">AVERAGE(CH5:CJ5)</f>
        <v>86</v>
      </c>
      <c r="CO5" s="20">
        <f>AVERAGE(87,90,92,92)</f>
        <v>90.25</v>
      </c>
      <c r="CP5" s="17">
        <f t="shared" si="14"/>
        <v>0.91581632653061229</v>
      </c>
      <c r="CQ5" s="17">
        <f t="shared" si="15"/>
        <v>0.87755102040816324</v>
      </c>
      <c r="CR5" s="17">
        <f t="shared" si="16"/>
        <v>0.92091836734693877</v>
      </c>
      <c r="CS5" s="16">
        <v>82</v>
      </c>
      <c r="CT5" s="57">
        <f t="shared" si="38"/>
        <v>2.3342857142857141</v>
      </c>
      <c r="CU5" s="57">
        <f t="shared" si="17"/>
        <v>2.0314285714285716</v>
      </c>
      <c r="CV5" s="57">
        <f t="shared" si="18"/>
        <v>0</v>
      </c>
      <c r="CW5" s="57">
        <f>BJ5/K5</f>
        <v>1.4914285714285713</v>
      </c>
      <c r="CX5" s="57">
        <f t="shared" si="19"/>
        <v>2.6257142857142854</v>
      </c>
      <c r="CY5" s="57">
        <f t="shared" ref="CY5:CY15" si="41">BL5/K5</f>
        <v>1.8571428571428572</v>
      </c>
      <c r="CZ5" s="57">
        <f t="shared" si="20"/>
        <v>1.7885714285714285</v>
      </c>
      <c r="DA5" s="57"/>
      <c r="DB5" s="57"/>
      <c r="DC5" s="57">
        <f t="shared" si="21"/>
        <v>2.0028571428571427</v>
      </c>
      <c r="DD5" s="57">
        <f t="shared" si="22"/>
        <v>2.0585714285714287</v>
      </c>
      <c r="DE5" s="57">
        <f t="shared" si="23"/>
        <v>2.3685714285714288</v>
      </c>
      <c r="DF5" s="57">
        <f t="shared" si="24"/>
        <v>1.32</v>
      </c>
      <c r="DG5" s="11"/>
      <c r="DH5" s="11"/>
      <c r="ED5" s="12" t="s">
        <v>75</v>
      </c>
      <c r="EM5" s="26"/>
      <c r="EN5" s="27"/>
      <c r="EO5" s="27"/>
      <c r="ET5" s="26"/>
      <c r="EU5" s="27"/>
      <c r="EV5" s="27"/>
      <c r="FF5" s="28"/>
      <c r="FG5" s="28"/>
      <c r="FK5" s="26"/>
      <c r="FW5" s="29"/>
      <c r="FY5" s="29"/>
      <c r="GA5" s="16">
        <v>9</v>
      </c>
      <c r="GB5" s="16">
        <v>17</v>
      </c>
      <c r="GC5" s="20">
        <f>AVERAGE(13,9,11,11,9,12,17,11,11)</f>
        <v>11.555555555555555</v>
      </c>
      <c r="GD5" s="20"/>
      <c r="GE5" s="16">
        <v>1</v>
      </c>
      <c r="GF5" s="16">
        <v>4</v>
      </c>
      <c r="GG5" s="20">
        <f>AVERAGE(4,4,3,3,4,1,3,3,4)</f>
        <v>3.2222222222222223</v>
      </c>
      <c r="GH5" s="64"/>
      <c r="GI5" s="64"/>
      <c r="GJ5" s="64"/>
      <c r="GK5" s="64"/>
      <c r="GL5" s="64"/>
      <c r="GM5" s="69"/>
      <c r="GN5" s="63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</row>
    <row r="6" spans="1:207" x14ac:dyDescent="0.35">
      <c r="A6">
        <v>5</v>
      </c>
      <c r="B6" t="s">
        <v>156</v>
      </c>
      <c r="C6" t="s">
        <v>239</v>
      </c>
      <c r="D6" t="s">
        <v>157</v>
      </c>
      <c r="E6" t="s">
        <v>44</v>
      </c>
      <c r="F6">
        <v>67</v>
      </c>
      <c r="G6">
        <v>1.71</v>
      </c>
      <c r="H6" s="23">
        <v>88.2</v>
      </c>
      <c r="I6" s="23">
        <f t="shared" si="25"/>
        <v>30.163127116035707</v>
      </c>
      <c r="J6" s="23">
        <v>3.79</v>
      </c>
      <c r="K6" s="98">
        <v>3.5</v>
      </c>
      <c r="L6" s="23">
        <v>16.420000000000002</v>
      </c>
      <c r="M6" s="7">
        <f t="shared" si="0"/>
        <v>0.90682095006090124</v>
      </c>
      <c r="N6" s="7">
        <f t="shared" si="1"/>
        <v>0.69123020706455529</v>
      </c>
      <c r="O6" s="7">
        <f t="shared" si="2"/>
        <v>0.76225654801880449</v>
      </c>
      <c r="P6" s="7">
        <f t="shared" si="39"/>
        <v>0.857622565480188</v>
      </c>
      <c r="Q6" s="4">
        <v>14.89</v>
      </c>
      <c r="R6" s="71">
        <f t="shared" si="26"/>
        <v>16.379000000000001</v>
      </c>
      <c r="S6" s="4">
        <f t="shared" si="3"/>
        <v>4.2542857142857144</v>
      </c>
      <c r="T6" s="4">
        <f t="shared" si="4"/>
        <v>4.2542857142857144</v>
      </c>
      <c r="U6" s="1">
        <v>1.31</v>
      </c>
      <c r="V6" s="1">
        <v>90</v>
      </c>
      <c r="W6" s="1">
        <f>9*60+17</f>
        <v>557</v>
      </c>
      <c r="X6" s="1">
        <v>11.35</v>
      </c>
      <c r="Y6" s="1">
        <v>40</v>
      </c>
      <c r="Z6" s="1">
        <v>230</v>
      </c>
      <c r="AA6" s="1">
        <v>12.77</v>
      </c>
      <c r="AB6" s="1">
        <v>60</v>
      </c>
      <c r="AC6" s="1">
        <v>350</v>
      </c>
      <c r="AD6" s="1">
        <v>27.9</v>
      </c>
      <c r="AE6" s="1" t="s">
        <v>251</v>
      </c>
      <c r="AF6" s="1">
        <v>75</v>
      </c>
      <c r="AG6" s="1">
        <v>92</v>
      </c>
      <c r="AH6" s="1">
        <v>103</v>
      </c>
      <c r="AI6" s="1">
        <v>120</v>
      </c>
      <c r="AJ6" s="34">
        <f t="shared" si="27"/>
        <v>126</v>
      </c>
      <c r="AK6" s="18">
        <v>3.1</v>
      </c>
      <c r="AL6" s="18">
        <v>16.09</v>
      </c>
      <c r="AM6" s="17">
        <f t="shared" si="5"/>
        <v>1.0805910006715915</v>
      </c>
      <c r="AN6" s="33">
        <f t="shared" si="28"/>
        <v>0.98235545515599232</v>
      </c>
      <c r="AO6" s="18">
        <f t="shared" si="6"/>
        <v>4.597142857142857</v>
      </c>
      <c r="AP6" s="18">
        <f t="shared" si="7"/>
        <v>5.1903225806451614</v>
      </c>
      <c r="AQ6" s="19">
        <v>1.01</v>
      </c>
      <c r="AR6" s="16">
        <v>11.54</v>
      </c>
      <c r="AS6" s="16">
        <v>11.94</v>
      </c>
      <c r="AT6" s="18">
        <f t="shared" si="8"/>
        <v>3.7225806451612899</v>
      </c>
      <c r="AU6" s="18">
        <f t="shared" si="29"/>
        <v>3.4114285714285715</v>
      </c>
      <c r="AV6" s="18">
        <f t="shared" si="30"/>
        <v>3.5670046082949307</v>
      </c>
      <c r="AW6" s="17">
        <f t="shared" si="9"/>
        <v>0.80188045668233709</v>
      </c>
      <c r="AX6" s="17">
        <f t="shared" si="10"/>
        <v>0.78844862323707177</v>
      </c>
      <c r="AY6" s="33">
        <f t="shared" si="31"/>
        <v>0.71677147567006516</v>
      </c>
      <c r="AZ6" s="16">
        <v>11.52</v>
      </c>
      <c r="BA6" s="17">
        <f t="shared" si="32"/>
        <v>0.70412642669007897</v>
      </c>
      <c r="BB6" s="17">
        <f t="shared" si="11"/>
        <v>0.77367360644728</v>
      </c>
      <c r="BC6" s="33">
        <f t="shared" si="33"/>
        <v>0.70333964222479994</v>
      </c>
      <c r="BD6" s="18">
        <f t="shared" si="12"/>
        <v>3.2914285714285714</v>
      </c>
      <c r="BE6" s="18">
        <f t="shared" si="34"/>
        <v>3.2914285714285714</v>
      </c>
      <c r="BF6" s="16">
        <v>1.0900000000000001</v>
      </c>
      <c r="BG6" s="18">
        <v>11.69</v>
      </c>
      <c r="BH6" s="18">
        <v>12.64</v>
      </c>
      <c r="BI6" s="18">
        <v>12.33</v>
      </c>
      <c r="BK6" s="18">
        <f>AVERAGE(11.98,9.73)</f>
        <v>10.855</v>
      </c>
      <c r="BL6" s="18">
        <v>11.55</v>
      </c>
      <c r="BM6" s="18">
        <v>9.6300000000000008</v>
      </c>
      <c r="BN6" s="18">
        <v>12.22</v>
      </c>
      <c r="BP6" s="18">
        <f t="shared" ref="BP6:BP16" si="42">AVERAGE(BG6,BH6,BL6,BM6,BN6)</f>
        <v>11.545999999999999</v>
      </c>
      <c r="BQ6" s="18">
        <f>AVERAGE(BK6,BI6)</f>
        <v>11.592500000000001</v>
      </c>
      <c r="BR6" s="18">
        <f>AVERAGE(10.67,12.65)</f>
        <v>11.66</v>
      </c>
      <c r="BS6" s="18">
        <v>6.23</v>
      </c>
      <c r="BT6" s="16">
        <v>75</v>
      </c>
      <c r="BU6" s="16">
        <v>132</v>
      </c>
      <c r="BV6" s="17">
        <f t="shared" si="13"/>
        <v>1.1000000000000001</v>
      </c>
      <c r="BW6" s="16" t="s">
        <v>38</v>
      </c>
      <c r="BX6" s="16">
        <v>94</v>
      </c>
      <c r="BY6" s="16">
        <v>101</v>
      </c>
      <c r="BZ6" s="17">
        <f t="shared" si="35"/>
        <v>0.84166666666666667</v>
      </c>
      <c r="CA6" s="17">
        <f t="shared" si="36"/>
        <v>0.8125</v>
      </c>
      <c r="CB6" s="16">
        <v>116</v>
      </c>
      <c r="CC6" s="17">
        <f t="shared" si="37"/>
        <v>0.96666666666666667</v>
      </c>
      <c r="CD6" s="16">
        <v>100</v>
      </c>
      <c r="CE6" s="16">
        <v>122</v>
      </c>
      <c r="CF6" s="16">
        <v>118</v>
      </c>
      <c r="CH6" s="16">
        <v>116</v>
      </c>
      <c r="CJ6" s="20">
        <f>AVERAGE(120,127)</f>
        <v>123.5</v>
      </c>
      <c r="CK6" s="16">
        <v>109</v>
      </c>
      <c r="CL6" s="16">
        <v>124</v>
      </c>
      <c r="CM6" s="20">
        <f>AVERAGE(CD6:CF6,CK6:CL6)</f>
        <v>114.6</v>
      </c>
      <c r="CN6" s="20">
        <f t="shared" si="40"/>
        <v>119.75</v>
      </c>
      <c r="CO6" s="20">
        <f>AVERAGE(100,121)</f>
        <v>110.5</v>
      </c>
      <c r="CP6" s="17">
        <f t="shared" si="14"/>
        <v>0.95499999999999996</v>
      </c>
      <c r="CQ6" s="17">
        <f t="shared" si="15"/>
        <v>0.99791666666666667</v>
      </c>
      <c r="CR6" s="17">
        <f t="shared" si="16"/>
        <v>0.92083333333333328</v>
      </c>
      <c r="CS6" s="16">
        <v>111</v>
      </c>
      <c r="CT6" s="57">
        <f t="shared" si="38"/>
        <v>3.34</v>
      </c>
      <c r="CU6" s="57">
        <f t="shared" si="17"/>
        <v>3.6114285714285717</v>
      </c>
      <c r="CV6" s="57">
        <f t="shared" si="18"/>
        <v>3.5228571428571427</v>
      </c>
      <c r="CW6" s="57"/>
      <c r="CX6" s="57">
        <f t="shared" si="19"/>
        <v>3.1014285714285714</v>
      </c>
      <c r="CY6" s="57">
        <f t="shared" si="41"/>
        <v>3.3000000000000003</v>
      </c>
      <c r="CZ6" s="57">
        <f t="shared" si="20"/>
        <v>2.7514285714285718</v>
      </c>
      <c r="DA6" s="57">
        <f>BN6/K6</f>
        <v>3.4914285714285715</v>
      </c>
      <c r="DB6" s="57"/>
      <c r="DC6" s="57">
        <f t="shared" si="21"/>
        <v>3.2988571428571425</v>
      </c>
      <c r="DD6" s="57">
        <f t="shared" si="22"/>
        <v>3.3121428571428573</v>
      </c>
      <c r="DE6" s="57">
        <f t="shared" si="23"/>
        <v>3.3314285714285714</v>
      </c>
      <c r="DF6" s="57">
        <f t="shared" si="24"/>
        <v>1.78</v>
      </c>
      <c r="DG6" s="13">
        <v>88.7</v>
      </c>
      <c r="DH6" s="13">
        <f>DG6-H6</f>
        <v>0.5</v>
      </c>
      <c r="DI6" s="12">
        <v>3.5</v>
      </c>
      <c r="DJ6" s="12">
        <v>3.1</v>
      </c>
      <c r="DK6" s="12">
        <v>16.7</v>
      </c>
      <c r="DL6" s="14">
        <f>(DK6-Q6)/Q6*100</f>
        <v>12.155809267965068</v>
      </c>
      <c r="DM6" s="45">
        <v>1.01</v>
      </c>
      <c r="DN6" s="14">
        <f>DK6/3.5</f>
        <v>4.7714285714285714</v>
      </c>
      <c r="DO6" s="14">
        <f>DK6/DJ6</f>
        <v>5.387096774193548</v>
      </c>
      <c r="DP6" s="12">
        <v>1.34</v>
      </c>
      <c r="DQ6" s="12">
        <v>100</v>
      </c>
      <c r="DR6" s="12">
        <f>DQ6-V6</f>
        <v>10</v>
      </c>
      <c r="DS6" s="12">
        <v>609</v>
      </c>
      <c r="DT6" s="12">
        <f>DS6-W6</f>
        <v>52</v>
      </c>
      <c r="DU6" s="12">
        <v>11.5</v>
      </c>
      <c r="DV6" s="12">
        <f>DU6-X6</f>
        <v>0.15000000000000036</v>
      </c>
      <c r="DW6" s="12">
        <v>50</v>
      </c>
      <c r="DX6" s="12">
        <v>10</v>
      </c>
      <c r="DY6" s="12">
        <v>300</v>
      </c>
      <c r="DZ6" s="12">
        <f>DY6-Z6</f>
        <v>70</v>
      </c>
      <c r="EA6" s="14">
        <v>13</v>
      </c>
      <c r="EB6" s="12">
        <v>70</v>
      </c>
      <c r="EC6" s="12">
        <v>440</v>
      </c>
      <c r="ED6" s="12">
        <f>EC6-AC6</f>
        <v>90</v>
      </c>
      <c r="EE6" s="12">
        <v>26.5</v>
      </c>
      <c r="EF6" s="12">
        <f>EE6-AD6</f>
        <v>-1.3999999999999986</v>
      </c>
      <c r="EG6" s="12">
        <v>78</v>
      </c>
      <c r="EH6" s="12">
        <v>97</v>
      </c>
      <c r="EI6" s="12">
        <v>110</v>
      </c>
      <c r="EJ6" s="12">
        <v>130</v>
      </c>
      <c r="EK6" s="28">
        <v>3.1</v>
      </c>
      <c r="EL6" s="25">
        <v>14.2</v>
      </c>
      <c r="EM6" s="26">
        <f>EL6/DK6</f>
        <v>0.85029940119760483</v>
      </c>
      <c r="EN6" s="27">
        <f>EL6/3.5</f>
        <v>4.0571428571428569</v>
      </c>
      <c r="EO6" s="27">
        <f>EL6/EK6</f>
        <v>4.5806451612903221</v>
      </c>
      <c r="EP6" s="25">
        <v>1.19</v>
      </c>
      <c r="EQ6" s="27">
        <v>10</v>
      </c>
      <c r="ER6" s="25">
        <v>10.6</v>
      </c>
      <c r="ES6" s="25">
        <v>11.03</v>
      </c>
      <c r="ET6" s="26">
        <f>ES6/DK6</f>
        <v>0.66047904191616769</v>
      </c>
      <c r="EU6" s="27">
        <f>ES6/3.5</f>
        <v>3.1514285714285712</v>
      </c>
      <c r="EV6" s="27">
        <f>ES6/EK6</f>
        <v>3.5580645161290319</v>
      </c>
      <c r="EW6" s="25">
        <v>1.0900000000000001</v>
      </c>
      <c r="EX6" s="25">
        <v>12.5</v>
      </c>
      <c r="EY6" s="25">
        <v>9.8000000000000007</v>
      </c>
      <c r="EZ6" s="25">
        <v>10.199999999999999</v>
      </c>
      <c r="FA6" s="25">
        <v>10.199999999999999</v>
      </c>
      <c r="FB6" s="28">
        <v>10.7</v>
      </c>
      <c r="FD6" s="25">
        <v>12.7</v>
      </c>
      <c r="FE6" s="27">
        <f>AVERAGE(FD6,FA6,EY6,EX6)</f>
        <v>11.3</v>
      </c>
      <c r="FF6" s="25">
        <f>AVERAGE(FB6,EZ6)</f>
        <v>10.45</v>
      </c>
      <c r="FG6" s="46" t="s">
        <v>197</v>
      </c>
      <c r="FH6" s="25">
        <v>8.1</v>
      </c>
      <c r="FI6" s="25">
        <v>71</v>
      </c>
      <c r="FJ6" s="25">
        <v>127</v>
      </c>
      <c r="FK6" s="26">
        <f>FJ6/EJ6</f>
        <v>0.97692307692307689</v>
      </c>
      <c r="FL6" s="25" t="s">
        <v>39</v>
      </c>
      <c r="FM6" s="25">
        <v>86</v>
      </c>
      <c r="FN6" s="25">
        <v>89</v>
      </c>
      <c r="FO6" s="25">
        <v>100</v>
      </c>
      <c r="FP6" s="25">
        <v>109</v>
      </c>
      <c r="FQ6" s="25">
        <v>110</v>
      </c>
      <c r="FR6" s="25">
        <v>108</v>
      </c>
      <c r="FS6" s="25">
        <v>78</v>
      </c>
      <c r="FT6" s="25">
        <v>102</v>
      </c>
      <c r="FU6" s="29">
        <v>104</v>
      </c>
      <c r="FW6" s="29">
        <f>AVERAGE(FT6,FR6,FQ6,FP6)</f>
        <v>107.25</v>
      </c>
      <c r="FX6" s="25">
        <f>AVERAGE(FU6,FS6)</f>
        <v>91</v>
      </c>
      <c r="FY6" s="47" t="s">
        <v>197</v>
      </c>
      <c r="FZ6" s="25">
        <v>94</v>
      </c>
      <c r="GA6" s="16">
        <v>13</v>
      </c>
      <c r="GB6" s="16">
        <v>14</v>
      </c>
      <c r="GC6" s="16">
        <v>13</v>
      </c>
      <c r="GE6" s="16">
        <v>3</v>
      </c>
      <c r="GF6" s="16">
        <v>3</v>
      </c>
      <c r="GG6" s="16">
        <v>3</v>
      </c>
      <c r="GH6" s="51">
        <v>13</v>
      </c>
      <c r="GI6" s="51">
        <v>15</v>
      </c>
      <c r="GJ6" s="58">
        <f>AVERAGE(13,13,15)</f>
        <v>13.666666666666666</v>
      </c>
      <c r="GK6" s="51">
        <v>1</v>
      </c>
      <c r="GL6" s="51">
        <v>5</v>
      </c>
      <c r="GM6" s="58">
        <f>AVERAGE(5,5,2,1)</f>
        <v>3.25</v>
      </c>
      <c r="GN6" s="53">
        <v>4986</v>
      </c>
      <c r="GO6">
        <v>18.3</v>
      </c>
      <c r="GP6">
        <v>3.3</v>
      </c>
      <c r="GQ6">
        <v>1.29</v>
      </c>
      <c r="GR6">
        <v>31.1</v>
      </c>
      <c r="GS6" s="94">
        <f>GR6*H6</f>
        <v>2743.0200000000004</v>
      </c>
      <c r="GT6">
        <v>8240</v>
      </c>
      <c r="GU6">
        <v>18.8</v>
      </c>
      <c r="GV6">
        <v>3.3</v>
      </c>
      <c r="GW6">
        <v>1.87</v>
      </c>
      <c r="GX6">
        <v>33.799999999999997</v>
      </c>
      <c r="GY6" s="94">
        <f>GX6*DG6</f>
        <v>2998.06</v>
      </c>
    </row>
    <row r="7" spans="1:207" x14ac:dyDescent="0.35">
      <c r="A7">
        <v>6</v>
      </c>
      <c r="B7" t="s">
        <v>155</v>
      </c>
      <c r="C7" t="s">
        <v>239</v>
      </c>
      <c r="E7" t="s">
        <v>43</v>
      </c>
      <c r="F7">
        <v>65</v>
      </c>
      <c r="G7">
        <v>1.76</v>
      </c>
      <c r="H7" s="23">
        <v>97</v>
      </c>
      <c r="I7" s="23">
        <f t="shared" si="25"/>
        <v>31.31456611570248</v>
      </c>
      <c r="J7" s="23">
        <v>3.84</v>
      </c>
      <c r="K7" s="98">
        <v>3.5</v>
      </c>
      <c r="L7" s="23">
        <v>23.06</v>
      </c>
      <c r="M7" s="7">
        <f t="shared" si="0"/>
        <v>0.77927146574154382</v>
      </c>
      <c r="N7" s="7">
        <f t="shared" si="1"/>
        <v>0.49045967042497834</v>
      </c>
      <c r="O7" s="7">
        <f t="shared" si="2"/>
        <v>0.62938230383973293</v>
      </c>
      <c r="P7" s="7">
        <f t="shared" si="39"/>
        <v>0.73233166388425164</v>
      </c>
      <c r="Q7" s="4">
        <v>17.97</v>
      </c>
      <c r="R7" s="71">
        <f t="shared" si="26"/>
        <v>19.766999999999999</v>
      </c>
      <c r="S7" s="4">
        <f t="shared" si="3"/>
        <v>5.1342857142857143</v>
      </c>
      <c r="T7" s="4">
        <f t="shared" si="4"/>
        <v>5.1342857142857143</v>
      </c>
      <c r="U7" s="1">
        <v>1.03</v>
      </c>
      <c r="V7" s="1">
        <v>130</v>
      </c>
      <c r="W7" s="1">
        <f>13*60+8</f>
        <v>788</v>
      </c>
      <c r="X7" s="1">
        <v>11.31</v>
      </c>
      <c r="Y7" s="1">
        <v>60</v>
      </c>
      <c r="Z7" s="1">
        <f>5*60+20</f>
        <v>320</v>
      </c>
      <c r="AA7" s="1">
        <v>13.16</v>
      </c>
      <c r="AB7" s="1">
        <v>80</v>
      </c>
      <c r="AC7" s="1">
        <f>7*60+30</f>
        <v>450</v>
      </c>
      <c r="AD7" s="1">
        <v>27.41</v>
      </c>
      <c r="AE7" s="1" t="s">
        <v>97</v>
      </c>
      <c r="AF7" s="1">
        <v>104</v>
      </c>
      <c r="AG7" s="1">
        <v>126</v>
      </c>
      <c r="AH7" s="1">
        <v>132</v>
      </c>
      <c r="AI7" s="1">
        <v>155</v>
      </c>
      <c r="AJ7" s="34">
        <f t="shared" si="27"/>
        <v>162.75</v>
      </c>
      <c r="AK7" s="18">
        <v>2.9</v>
      </c>
      <c r="AL7" s="18">
        <v>15.25</v>
      </c>
      <c r="AM7" s="17">
        <f t="shared" si="5"/>
        <v>0.84863661658319423</v>
      </c>
      <c r="AN7" s="33">
        <f t="shared" si="28"/>
        <v>0.7714878332574493</v>
      </c>
      <c r="AO7" s="18">
        <f t="shared" si="6"/>
        <v>4.3571428571428568</v>
      </c>
      <c r="AP7" s="18">
        <f t="shared" si="7"/>
        <v>5.2586206896551726</v>
      </c>
      <c r="AQ7" s="19">
        <v>0.9</v>
      </c>
      <c r="AR7" s="16">
        <v>11.66</v>
      </c>
      <c r="AS7" s="16">
        <v>12.11</v>
      </c>
      <c r="AT7" s="18">
        <f t="shared" si="8"/>
        <v>4.0206896551724141</v>
      </c>
      <c r="AU7" s="18">
        <f t="shared" si="29"/>
        <v>3.46</v>
      </c>
      <c r="AV7" s="18">
        <f t="shared" si="30"/>
        <v>3.740344827586207</v>
      </c>
      <c r="AW7" s="17">
        <f t="shared" si="9"/>
        <v>0.67390094602114636</v>
      </c>
      <c r="AX7" s="17">
        <f t="shared" si="10"/>
        <v>0.66138007790762388</v>
      </c>
      <c r="AY7" s="33">
        <f t="shared" si="31"/>
        <v>0.60125461627965804</v>
      </c>
      <c r="AZ7" s="16">
        <v>10.31</v>
      </c>
      <c r="BA7" s="17">
        <f t="shared" si="32"/>
        <v>0.47062888735314451</v>
      </c>
      <c r="BB7" s="17">
        <f t="shared" si="11"/>
        <v>0.57373400111296613</v>
      </c>
      <c r="BC7" s="33">
        <f t="shared" si="33"/>
        <v>0.52157636464815105</v>
      </c>
      <c r="BD7" s="18">
        <f t="shared" si="12"/>
        <v>2.9457142857142857</v>
      </c>
      <c r="BE7" s="18">
        <f t="shared" si="34"/>
        <v>2.9457142857142857</v>
      </c>
      <c r="BF7" s="16">
        <v>1.04</v>
      </c>
      <c r="BG7" s="18">
        <v>12</v>
      </c>
      <c r="BH7" s="18">
        <f>AVERAGE(13.56,13.72)</f>
        <v>13.64</v>
      </c>
      <c r="BI7" s="18">
        <v>11.84</v>
      </c>
      <c r="BK7" s="18">
        <v>8.59</v>
      </c>
      <c r="BL7" s="18">
        <f>AVERAGE(9.3,8.86)</f>
        <v>9.08</v>
      </c>
      <c r="BM7" s="18">
        <v>8.84</v>
      </c>
      <c r="BP7" s="18">
        <f t="shared" si="42"/>
        <v>10.89</v>
      </c>
      <c r="BQ7" s="18">
        <f>AVERAGE(BK7,BI7)</f>
        <v>10.215</v>
      </c>
      <c r="BR7" s="18">
        <f>AVERAGE(9.65,6.68)</f>
        <v>8.1649999999999991</v>
      </c>
      <c r="BS7" s="18">
        <v>6.21</v>
      </c>
      <c r="BT7" s="16">
        <v>86</v>
      </c>
      <c r="BU7" s="16">
        <v>142</v>
      </c>
      <c r="BV7" s="17">
        <f t="shared" si="13"/>
        <v>0.91612903225806452</v>
      </c>
      <c r="BW7" s="16" t="s">
        <v>38</v>
      </c>
      <c r="BX7" s="16">
        <v>115</v>
      </c>
      <c r="BY7" s="16">
        <v>120</v>
      </c>
      <c r="BZ7" s="17">
        <f t="shared" si="35"/>
        <v>0.77419354838709675</v>
      </c>
      <c r="CA7" s="17">
        <f t="shared" si="36"/>
        <v>0.75806451612903225</v>
      </c>
      <c r="CB7" s="16">
        <v>126</v>
      </c>
      <c r="CC7" s="17">
        <f t="shared" si="37"/>
        <v>0.81290322580645158</v>
      </c>
      <c r="CD7" s="16">
        <v>123</v>
      </c>
      <c r="CE7" s="20">
        <f>AVERAGE(126,139)</f>
        <v>132.5</v>
      </c>
      <c r="CH7" s="16">
        <v>124</v>
      </c>
      <c r="CJ7" s="16">
        <v>127</v>
      </c>
      <c r="CK7" s="16">
        <f>AVERAGE(115,129)</f>
        <v>122</v>
      </c>
      <c r="CL7" s="16">
        <v>126</v>
      </c>
      <c r="CM7" s="20">
        <f t="shared" ref="CM7:CM15" si="43">AVERAGE(CD7:CF7,CK7:CL7)</f>
        <v>125.875</v>
      </c>
      <c r="CN7" s="20">
        <f t="shared" si="40"/>
        <v>125.5</v>
      </c>
      <c r="CO7" s="20">
        <f>AVERAGE(111,134)</f>
        <v>122.5</v>
      </c>
      <c r="CP7" s="17">
        <f t="shared" si="14"/>
        <v>0.81209677419354842</v>
      </c>
      <c r="CQ7" s="17">
        <f t="shared" si="15"/>
        <v>0.80967741935483872</v>
      </c>
      <c r="CR7" s="17">
        <f t="shared" si="16"/>
        <v>0.79032258064516125</v>
      </c>
      <c r="CS7" s="16">
        <v>129</v>
      </c>
      <c r="CT7" s="57">
        <f t="shared" si="38"/>
        <v>3.4285714285714284</v>
      </c>
      <c r="CU7" s="57">
        <f t="shared" si="17"/>
        <v>3.8971428571428572</v>
      </c>
      <c r="CV7" s="57">
        <f t="shared" si="18"/>
        <v>3.382857142857143</v>
      </c>
      <c r="CW7" s="57"/>
      <c r="CX7" s="57">
        <f t="shared" si="19"/>
        <v>2.4542857142857142</v>
      </c>
      <c r="CY7" s="57">
        <f t="shared" si="41"/>
        <v>2.5942857142857143</v>
      </c>
      <c r="CZ7" s="57">
        <f t="shared" si="20"/>
        <v>2.5257142857142858</v>
      </c>
      <c r="DA7" s="57"/>
      <c r="DB7" s="57"/>
      <c r="DC7" s="57">
        <f t="shared" si="21"/>
        <v>3.1114285714285717</v>
      </c>
      <c r="DD7" s="57">
        <f t="shared" si="22"/>
        <v>2.9185714285714286</v>
      </c>
      <c r="DE7" s="57">
        <f t="shared" si="23"/>
        <v>2.3328571428571427</v>
      </c>
      <c r="DF7" s="57">
        <f t="shared" si="24"/>
        <v>1.7742857142857142</v>
      </c>
      <c r="FZ7" s="25" t="s">
        <v>75</v>
      </c>
      <c r="GA7" s="66"/>
      <c r="GB7" s="66"/>
      <c r="GC7" s="20">
        <v>13</v>
      </c>
      <c r="GD7" s="20"/>
      <c r="GE7" s="64"/>
      <c r="GF7" s="64"/>
      <c r="GG7" s="20">
        <v>5</v>
      </c>
      <c r="GH7" s="66"/>
      <c r="GI7" s="67"/>
      <c r="GJ7" s="68" t="s">
        <v>75</v>
      </c>
      <c r="GK7" s="67"/>
      <c r="GL7" s="67"/>
      <c r="GM7" s="68" t="s">
        <v>75</v>
      </c>
      <c r="GN7" s="63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</row>
    <row r="8" spans="1:207" x14ac:dyDescent="0.35">
      <c r="A8">
        <v>7</v>
      </c>
      <c r="B8" t="s">
        <v>155</v>
      </c>
      <c r="C8" t="s">
        <v>241</v>
      </c>
      <c r="D8" t="s">
        <v>254</v>
      </c>
      <c r="E8" t="s">
        <v>43</v>
      </c>
      <c r="F8">
        <v>53</v>
      </c>
      <c r="G8">
        <v>1.8</v>
      </c>
      <c r="H8" s="23">
        <v>94.7</v>
      </c>
      <c r="I8" s="23">
        <f t="shared" si="25"/>
        <v>29.228395061728396</v>
      </c>
      <c r="J8" s="23">
        <v>3.68</v>
      </c>
      <c r="K8" s="98">
        <v>3.5</v>
      </c>
      <c r="L8" s="23">
        <v>29.1</v>
      </c>
      <c r="M8" s="7">
        <f t="shared" si="0"/>
        <v>0.5230240549828179</v>
      </c>
      <c r="N8" s="7">
        <f t="shared" si="1"/>
        <v>0.29450171821305843</v>
      </c>
      <c r="O8" s="7">
        <f t="shared" si="2"/>
        <v>0.56307490144546646</v>
      </c>
      <c r="P8" s="7">
        <f t="shared" si="39"/>
        <v>0.96517739816031534</v>
      </c>
      <c r="Q8" s="4">
        <v>15.22</v>
      </c>
      <c r="R8" s="71">
        <f t="shared" si="26"/>
        <v>16.742000000000001</v>
      </c>
      <c r="S8" s="4">
        <f t="shared" si="3"/>
        <v>4.3485714285714288</v>
      </c>
      <c r="T8" s="4">
        <f t="shared" si="4"/>
        <v>4.3485714285714288</v>
      </c>
      <c r="U8" s="1">
        <v>1.27</v>
      </c>
      <c r="V8" s="1">
        <v>100</v>
      </c>
      <c r="W8" s="1">
        <v>617</v>
      </c>
      <c r="X8" s="1">
        <v>8.57</v>
      </c>
      <c r="Y8" s="8">
        <v>50</v>
      </c>
      <c r="Z8" s="1">
        <v>310</v>
      </c>
      <c r="AA8" s="1">
        <v>14.69</v>
      </c>
      <c r="AB8" s="1">
        <v>90</v>
      </c>
      <c r="AC8" s="1">
        <v>540</v>
      </c>
      <c r="AD8" s="1">
        <v>31.88</v>
      </c>
      <c r="AF8" s="1">
        <v>54</v>
      </c>
      <c r="AG8" s="1">
        <v>69</v>
      </c>
      <c r="AH8" s="1">
        <v>87</v>
      </c>
      <c r="AI8" s="1">
        <v>92</v>
      </c>
      <c r="AJ8" s="34">
        <f t="shared" si="27"/>
        <v>96.600000000000009</v>
      </c>
      <c r="AK8" s="18">
        <v>3.54</v>
      </c>
      <c r="AL8" s="18">
        <v>17.93</v>
      </c>
      <c r="AM8" s="17">
        <f t="shared" si="5"/>
        <v>1.1780551905387646</v>
      </c>
      <c r="AN8" s="33">
        <f t="shared" si="28"/>
        <v>1.0709592641261498</v>
      </c>
      <c r="AO8" s="18">
        <f t="shared" si="6"/>
        <v>5.1228571428571428</v>
      </c>
      <c r="AP8" s="18">
        <f t="shared" si="7"/>
        <v>5.0649717514124291</v>
      </c>
      <c r="AQ8" s="16">
        <v>1.1299999999999999</v>
      </c>
      <c r="AR8" s="16">
        <v>12.56</v>
      </c>
      <c r="AS8" s="16">
        <v>13.05</v>
      </c>
      <c r="AT8" s="18">
        <f t="shared" si="8"/>
        <v>3.5480225988700567</v>
      </c>
      <c r="AU8" s="18">
        <f t="shared" si="29"/>
        <v>3.7285714285714286</v>
      </c>
      <c r="AV8" s="18">
        <f t="shared" si="30"/>
        <v>3.6382970137207424</v>
      </c>
      <c r="AW8" s="17">
        <f t="shared" si="9"/>
        <v>0.85742444152431008</v>
      </c>
      <c r="AX8" s="17">
        <f t="shared" si="10"/>
        <v>0.84132720105124825</v>
      </c>
      <c r="AY8" s="33">
        <f t="shared" si="31"/>
        <v>0.76484291004658933</v>
      </c>
      <c r="AZ8" s="19">
        <v>12.7</v>
      </c>
      <c r="BA8" s="17">
        <f t="shared" si="32"/>
        <v>0.78498293515358353</v>
      </c>
      <c r="BB8" s="17">
        <f t="shared" si="11"/>
        <v>0.83442838370565042</v>
      </c>
      <c r="BC8" s="33">
        <f t="shared" si="33"/>
        <v>0.75857125791422764</v>
      </c>
      <c r="BD8" s="18">
        <f t="shared" si="12"/>
        <v>3.6285714285714286</v>
      </c>
      <c r="BE8" s="18">
        <f t="shared" si="34"/>
        <v>3.6285714285714286</v>
      </c>
      <c r="BF8" s="16">
        <v>1.1499999999999999</v>
      </c>
      <c r="BG8" s="18">
        <f>AVERAGE(11.74,12.42)</f>
        <v>12.08</v>
      </c>
      <c r="BH8" s="18">
        <v>14.3</v>
      </c>
      <c r="BI8" s="18">
        <v>15.49</v>
      </c>
      <c r="BK8" s="18">
        <v>12.06</v>
      </c>
      <c r="BL8" s="18">
        <v>13.97</v>
      </c>
      <c r="BM8" s="18">
        <v>11.94</v>
      </c>
      <c r="BN8" s="16">
        <v>14.5</v>
      </c>
      <c r="BP8" s="18">
        <f t="shared" si="42"/>
        <v>13.357999999999999</v>
      </c>
      <c r="BQ8" s="18">
        <f>AVERAGE(BK8,BI8)</f>
        <v>13.775</v>
      </c>
      <c r="BR8" s="18">
        <f>(AVERAGE(10.21,11.31))</f>
        <v>10.760000000000002</v>
      </c>
      <c r="BS8" s="18">
        <v>7.36</v>
      </c>
      <c r="BT8" s="16">
        <v>52</v>
      </c>
      <c r="BU8" s="16">
        <v>119</v>
      </c>
      <c r="BV8" s="17">
        <f t="shared" si="13"/>
        <v>1.2934782608695652</v>
      </c>
      <c r="BW8" s="16" t="s">
        <v>39</v>
      </c>
      <c r="BX8" s="16">
        <v>73</v>
      </c>
      <c r="BY8" s="16">
        <v>79</v>
      </c>
      <c r="BZ8" s="17">
        <f t="shared" si="35"/>
        <v>0.85869565217391308</v>
      </c>
      <c r="CA8" s="17">
        <f t="shared" si="36"/>
        <v>0.82608695652173914</v>
      </c>
      <c r="CB8" s="16">
        <v>99</v>
      </c>
      <c r="CC8" s="17">
        <f t="shared" si="37"/>
        <v>1.076086956521739</v>
      </c>
      <c r="CD8" s="20">
        <f>AVERAGE(88,103)</f>
        <v>95.5</v>
      </c>
      <c r="CE8" s="16">
        <v>108</v>
      </c>
      <c r="CF8" s="16">
        <v>97</v>
      </c>
      <c r="CH8" s="16">
        <v>110</v>
      </c>
      <c r="CJ8" s="16">
        <v>104</v>
      </c>
      <c r="CL8" s="16">
        <v>89</v>
      </c>
      <c r="CM8" s="20">
        <f t="shared" si="43"/>
        <v>97.375</v>
      </c>
      <c r="CN8" s="16">
        <f t="shared" si="40"/>
        <v>107</v>
      </c>
      <c r="CO8" s="20">
        <f>AVERAGE(100,99)</f>
        <v>99.5</v>
      </c>
      <c r="CP8" s="17">
        <f t="shared" si="14"/>
        <v>1.0584239130434783</v>
      </c>
      <c r="CQ8" s="17">
        <f t="shared" si="15"/>
        <v>1.1630434782608696</v>
      </c>
      <c r="CR8" s="17">
        <f t="shared" si="16"/>
        <v>1.0815217391304348</v>
      </c>
      <c r="CS8" s="16">
        <v>80</v>
      </c>
      <c r="CT8" s="57">
        <f t="shared" si="38"/>
        <v>3.4514285714285715</v>
      </c>
      <c r="CU8" s="57">
        <f t="shared" si="17"/>
        <v>4.0857142857142863</v>
      </c>
      <c r="CV8" s="57">
        <f t="shared" si="18"/>
        <v>4.4257142857142862</v>
      </c>
      <c r="CW8" s="57"/>
      <c r="CX8" s="57">
        <f t="shared" si="19"/>
        <v>3.4457142857142857</v>
      </c>
      <c r="CY8" s="57">
        <f t="shared" si="41"/>
        <v>3.9914285714285715</v>
      </c>
      <c r="CZ8" s="57">
        <f t="shared" si="20"/>
        <v>3.4114285714285715</v>
      </c>
      <c r="DA8" s="57">
        <f>BN8/K8</f>
        <v>4.1428571428571432</v>
      </c>
      <c r="DB8" s="57"/>
      <c r="DC8" s="57">
        <f t="shared" si="21"/>
        <v>3.8165714285714283</v>
      </c>
      <c r="DD8" s="57">
        <f t="shared" si="22"/>
        <v>3.9357142857142859</v>
      </c>
      <c r="DE8" s="57">
        <f t="shared" si="23"/>
        <v>3.0742857142857147</v>
      </c>
      <c r="DF8" s="57">
        <f t="shared" si="24"/>
        <v>2.1028571428571428</v>
      </c>
      <c r="DG8" s="12">
        <v>94.9</v>
      </c>
      <c r="DH8" s="13">
        <f>DG8-H8</f>
        <v>0.20000000000000284</v>
      </c>
      <c r="DI8" s="12">
        <v>3.3</v>
      </c>
      <c r="DJ8" s="12">
        <v>3.3</v>
      </c>
      <c r="DK8" s="12">
        <v>15.7</v>
      </c>
      <c r="DL8" s="14">
        <f>(DK8-Q8)/Q8*100</f>
        <v>3.1537450722733151</v>
      </c>
      <c r="DM8" s="44">
        <f>DK8/L8</f>
        <v>0.53951890034364258</v>
      </c>
      <c r="DN8" s="14">
        <f>DK8/3.5</f>
        <v>4.4857142857142858</v>
      </c>
      <c r="DO8" s="14">
        <f>DK8/DJ8</f>
        <v>4.7575757575757578</v>
      </c>
      <c r="DP8" s="12">
        <v>1.35</v>
      </c>
      <c r="DQ8" s="12">
        <v>120</v>
      </c>
      <c r="DR8" s="12">
        <f>DQ8-V8</f>
        <v>20</v>
      </c>
      <c r="DS8" s="12">
        <v>720</v>
      </c>
      <c r="DT8" s="12">
        <f>DS8-W8</f>
        <v>103</v>
      </c>
      <c r="DU8" s="12">
        <v>9.8000000000000007</v>
      </c>
      <c r="DV8" s="12">
        <f>DU8-X8</f>
        <v>1.2300000000000004</v>
      </c>
      <c r="DW8" s="12">
        <v>60</v>
      </c>
      <c r="DX8" s="12">
        <v>10</v>
      </c>
      <c r="DY8" s="12">
        <v>360</v>
      </c>
      <c r="DZ8" s="12">
        <f>DY8-Z8</f>
        <v>50</v>
      </c>
      <c r="EA8" s="12">
        <v>12.8</v>
      </c>
      <c r="EB8" s="12">
        <v>80</v>
      </c>
      <c r="EC8" s="12">
        <v>475</v>
      </c>
      <c r="ED8" s="12">
        <f>EC8-AC8</f>
        <v>-65</v>
      </c>
      <c r="EE8" s="12">
        <v>28.5</v>
      </c>
      <c r="EF8" s="12">
        <f>EE8-AD8</f>
        <v>-3.379999999999999</v>
      </c>
      <c r="EG8" s="12">
        <v>49</v>
      </c>
      <c r="EH8" s="12">
        <v>68</v>
      </c>
      <c r="EI8" s="12">
        <v>79</v>
      </c>
      <c r="EJ8" s="12">
        <v>99</v>
      </c>
      <c r="EK8" s="25">
        <v>3.65</v>
      </c>
      <c r="EL8" s="27">
        <v>16</v>
      </c>
      <c r="EM8" s="26">
        <f>EL8/DK8</f>
        <v>1.0191082802547771</v>
      </c>
      <c r="EN8" s="27">
        <f>EL8/3.5</f>
        <v>4.5714285714285712</v>
      </c>
      <c r="EO8" s="27">
        <f>EL8/EK8</f>
        <v>4.3835616438356162</v>
      </c>
      <c r="EP8" s="28">
        <v>0.9</v>
      </c>
      <c r="EQ8" s="25">
        <v>8.24</v>
      </c>
      <c r="ER8" s="25">
        <v>9.0500000000000007</v>
      </c>
      <c r="ES8" s="25">
        <v>13.27</v>
      </c>
      <c r="ET8" s="26">
        <f>ES8/DK8</f>
        <v>0.84522292993630577</v>
      </c>
      <c r="EU8" s="27">
        <f>ES8/3.5</f>
        <v>3.7914285714285714</v>
      </c>
      <c r="EV8" s="27">
        <f>ES8/EK8</f>
        <v>3.6356164383561644</v>
      </c>
      <c r="EW8" s="25">
        <v>1.02</v>
      </c>
      <c r="EX8" s="25">
        <v>14.5</v>
      </c>
      <c r="EY8" s="25">
        <v>13.9</v>
      </c>
      <c r="EZ8" s="25">
        <v>14.2</v>
      </c>
      <c r="FA8" s="27">
        <v>12</v>
      </c>
      <c r="FB8" s="25">
        <v>12.2</v>
      </c>
      <c r="FD8" s="27">
        <v>15</v>
      </c>
      <c r="FE8" s="27">
        <f>AVERAGE(FD8,FA8,EY8,EX8)</f>
        <v>13.85</v>
      </c>
      <c r="FF8" s="25">
        <f>AVERAGE(FB8,EZ8)</f>
        <v>13.2</v>
      </c>
      <c r="FG8" s="25">
        <v>9.3000000000000007</v>
      </c>
      <c r="FH8" s="25">
        <v>8.6</v>
      </c>
      <c r="FI8" s="25">
        <v>52</v>
      </c>
      <c r="FJ8" s="25">
        <v>102</v>
      </c>
      <c r="FK8" s="26">
        <f>FJ8/EJ8</f>
        <v>1.0303030303030303</v>
      </c>
      <c r="FL8" s="25" t="s">
        <v>38</v>
      </c>
      <c r="FM8" s="25">
        <v>65</v>
      </c>
      <c r="FN8" s="25">
        <v>68</v>
      </c>
      <c r="FO8" s="25">
        <v>86</v>
      </c>
      <c r="FP8" s="25">
        <v>87</v>
      </c>
      <c r="FQ8" s="25">
        <v>82</v>
      </c>
      <c r="FR8" s="25">
        <v>97</v>
      </c>
      <c r="FS8" s="25">
        <v>82</v>
      </c>
      <c r="FT8" s="25">
        <v>75</v>
      </c>
      <c r="FU8" s="25">
        <v>90</v>
      </c>
      <c r="FW8" s="29">
        <f>AVERAGE(FT8,FR8,FQ8,FP8)</f>
        <v>85.25</v>
      </c>
      <c r="FX8" s="25">
        <f>AVERAGE(FU8,FS8)</f>
        <v>86</v>
      </c>
      <c r="FY8" s="25">
        <v>75</v>
      </c>
      <c r="FZ8" s="25">
        <v>73</v>
      </c>
      <c r="GA8" s="64"/>
      <c r="GB8" s="64"/>
      <c r="GC8" s="64"/>
      <c r="GD8" s="64"/>
      <c r="GE8" s="64"/>
      <c r="GF8" s="64"/>
      <c r="GG8" s="64"/>
      <c r="GH8" s="51">
        <v>11</v>
      </c>
      <c r="GI8" s="51">
        <v>14</v>
      </c>
      <c r="GJ8" s="58">
        <f>AVERAGE(11,13,13,14,13)</f>
        <v>12.8</v>
      </c>
      <c r="GK8" s="51">
        <v>3</v>
      </c>
      <c r="GL8" s="51">
        <v>5</v>
      </c>
      <c r="GM8" s="58">
        <v>4</v>
      </c>
      <c r="GN8" s="53">
        <v>6671</v>
      </c>
      <c r="GO8">
        <v>18.2</v>
      </c>
      <c r="GP8">
        <v>4.4000000000000004</v>
      </c>
      <c r="GQ8">
        <v>1.37</v>
      </c>
      <c r="GR8">
        <v>33.299999999999997</v>
      </c>
      <c r="GS8" s="94">
        <f>GR8*H8</f>
        <v>3153.5099999999998</v>
      </c>
      <c r="GT8">
        <v>8105</v>
      </c>
      <c r="GU8">
        <v>18.2</v>
      </c>
      <c r="GV8" s="23">
        <v>4</v>
      </c>
      <c r="GW8">
        <v>1.7</v>
      </c>
      <c r="GX8">
        <v>33.799999999999997</v>
      </c>
      <c r="GY8" s="94">
        <f>GX8*DG8</f>
        <v>3207.62</v>
      </c>
    </row>
    <row r="9" spans="1:207" x14ac:dyDescent="0.35">
      <c r="A9">
        <v>8</v>
      </c>
      <c r="B9" t="s">
        <v>155</v>
      </c>
      <c r="C9" t="s">
        <v>241</v>
      </c>
      <c r="E9" t="s">
        <v>44</v>
      </c>
      <c r="F9">
        <v>48</v>
      </c>
      <c r="G9">
        <v>1.66</v>
      </c>
      <c r="H9" s="23">
        <v>70.599999999999994</v>
      </c>
      <c r="I9" s="23">
        <f t="shared" si="25"/>
        <v>25.620554507185368</v>
      </c>
      <c r="J9" s="23">
        <v>3.81</v>
      </c>
      <c r="K9" s="98">
        <v>3.5</v>
      </c>
      <c r="L9" s="23">
        <v>23</v>
      </c>
      <c r="M9" s="7">
        <f t="shared" si="0"/>
        <v>0.53130434782608693</v>
      </c>
      <c r="N9" s="7">
        <f t="shared" si="1"/>
        <v>0.31391304347826088</v>
      </c>
      <c r="O9" s="7">
        <f t="shared" si="2"/>
        <v>0.5908346972176759</v>
      </c>
      <c r="P9" s="7">
        <f t="shared" si="39"/>
        <v>0.93044189852700476</v>
      </c>
      <c r="Q9" s="4">
        <v>12.22</v>
      </c>
      <c r="R9" s="71">
        <f t="shared" si="26"/>
        <v>13.442000000000002</v>
      </c>
      <c r="S9" s="4">
        <f t="shared" si="3"/>
        <v>3.4914285714285715</v>
      </c>
      <c r="T9" s="4">
        <f t="shared" si="4"/>
        <v>3.4914285714285715</v>
      </c>
      <c r="U9" s="1">
        <v>1.37</v>
      </c>
      <c r="V9" s="1">
        <v>100</v>
      </c>
      <c r="W9" s="1">
        <v>630</v>
      </c>
      <c r="X9" s="1">
        <v>7.22</v>
      </c>
      <c r="Y9" s="1">
        <v>40</v>
      </c>
      <c r="Z9" s="1">
        <v>240</v>
      </c>
      <c r="AA9" s="1">
        <v>11.37</v>
      </c>
      <c r="AB9" s="1">
        <v>80</v>
      </c>
      <c r="AC9" s="1">
        <v>520</v>
      </c>
      <c r="AD9" s="1">
        <v>28.77</v>
      </c>
      <c r="AF9" s="1">
        <v>60</v>
      </c>
      <c r="AG9" s="1">
        <v>84</v>
      </c>
      <c r="AH9" s="1">
        <v>110</v>
      </c>
      <c r="AI9" s="1">
        <v>118</v>
      </c>
      <c r="AJ9" s="34">
        <f t="shared" si="27"/>
        <v>123.9</v>
      </c>
      <c r="AK9" s="18">
        <v>2.79</v>
      </c>
      <c r="AL9" s="18">
        <v>16.61</v>
      </c>
      <c r="AM9" s="17">
        <f t="shared" si="5"/>
        <v>1.3592471358428804</v>
      </c>
      <c r="AN9" s="33">
        <f t="shared" si="28"/>
        <v>1.2356792144026185</v>
      </c>
      <c r="AO9" s="18">
        <f t="shared" si="6"/>
        <v>4.7457142857142856</v>
      </c>
      <c r="AP9" s="18">
        <f t="shared" si="7"/>
        <v>5.9534050179211464</v>
      </c>
      <c r="AQ9" s="16">
        <v>1.04</v>
      </c>
      <c r="AR9" s="16">
        <v>13.75</v>
      </c>
      <c r="AS9" s="16">
        <v>14.88</v>
      </c>
      <c r="AT9" s="18">
        <f t="shared" si="8"/>
        <v>4.9283154121863797</v>
      </c>
      <c r="AU9" s="18">
        <f t="shared" si="29"/>
        <v>4.2514285714285718</v>
      </c>
      <c r="AV9" s="18">
        <f t="shared" si="30"/>
        <v>4.5898719918074757</v>
      </c>
      <c r="AW9" s="17">
        <f t="shared" si="9"/>
        <v>1.2176759410801965</v>
      </c>
      <c r="AX9" s="17">
        <f t="shared" si="10"/>
        <v>1.1714402618657938</v>
      </c>
      <c r="AY9" s="33">
        <f t="shared" si="31"/>
        <v>1.0649456926052669</v>
      </c>
      <c r="AZ9" s="16">
        <v>10.63</v>
      </c>
      <c r="BA9" s="17">
        <f t="shared" si="32"/>
        <v>0.81766055045871566</v>
      </c>
      <c r="BB9" s="17">
        <f t="shared" si="11"/>
        <v>0.86988543371522098</v>
      </c>
      <c r="BC9" s="33">
        <f t="shared" si="33"/>
        <v>0.79080493974110988</v>
      </c>
      <c r="BD9" s="18">
        <f t="shared" si="12"/>
        <v>3.0371428571428574</v>
      </c>
      <c r="BE9" s="18">
        <f t="shared" si="34"/>
        <v>3.0371428571428574</v>
      </c>
      <c r="BF9" s="16">
        <v>1.1599999999999999</v>
      </c>
      <c r="BG9" s="18">
        <v>12.95</v>
      </c>
      <c r="BH9" s="18">
        <v>12.54</v>
      </c>
      <c r="BI9" s="18">
        <v>11.15</v>
      </c>
      <c r="BK9" s="18">
        <f>AVERAGE(8.03,8.59)</f>
        <v>8.3099999999999987</v>
      </c>
      <c r="BL9" s="18">
        <v>10.94</v>
      </c>
      <c r="BM9" s="18">
        <f>AVERAGE(14.66,8.45)</f>
        <v>11.555</v>
      </c>
      <c r="BP9" s="18">
        <f t="shared" si="42"/>
        <v>11.99625</v>
      </c>
      <c r="BQ9" s="18">
        <f>AVERAGE(BK9,BI9)</f>
        <v>9.73</v>
      </c>
      <c r="BR9" s="18">
        <f>AVERAGE(10.41,8.49)</f>
        <v>9.4499999999999993</v>
      </c>
      <c r="BS9" s="18">
        <v>6.95</v>
      </c>
      <c r="BT9" s="16">
        <v>63</v>
      </c>
      <c r="BU9" s="16">
        <v>111</v>
      </c>
      <c r="BV9" s="17">
        <f t="shared" si="13"/>
        <v>0.94067796610169496</v>
      </c>
      <c r="BW9" s="16" t="s">
        <v>38</v>
      </c>
      <c r="BX9" s="16">
        <v>91</v>
      </c>
      <c r="BY9" s="16">
        <v>97</v>
      </c>
      <c r="BZ9" s="17">
        <f t="shared" si="35"/>
        <v>0.82203389830508478</v>
      </c>
      <c r="CA9" s="17">
        <f t="shared" si="36"/>
        <v>0.79661016949152541</v>
      </c>
      <c r="CB9" s="16">
        <v>96</v>
      </c>
      <c r="CC9" s="17">
        <f t="shared" si="37"/>
        <v>0.81355932203389836</v>
      </c>
      <c r="CD9" s="16">
        <v>96</v>
      </c>
      <c r="CE9" s="16">
        <v>102</v>
      </c>
      <c r="CH9" s="16">
        <v>97</v>
      </c>
      <c r="CJ9" s="20">
        <f>AVERAGE(98,97)</f>
        <v>97.5</v>
      </c>
      <c r="CK9" s="16">
        <v>97</v>
      </c>
      <c r="CL9" s="20">
        <f>AVERAGE(100,97)</f>
        <v>98.5</v>
      </c>
      <c r="CM9" s="20">
        <f t="shared" si="43"/>
        <v>98.375</v>
      </c>
      <c r="CN9" s="20">
        <f t="shared" si="40"/>
        <v>97.25</v>
      </c>
      <c r="CO9" s="20">
        <f>AVERAGE(91,86)</f>
        <v>88.5</v>
      </c>
      <c r="CP9" s="17">
        <f t="shared" si="14"/>
        <v>0.83368644067796616</v>
      </c>
      <c r="CQ9" s="17">
        <f t="shared" si="15"/>
        <v>0.82415254237288138</v>
      </c>
      <c r="CR9" s="17">
        <f t="shared" si="16"/>
        <v>0.75</v>
      </c>
      <c r="CS9" s="16">
        <v>85</v>
      </c>
      <c r="CT9" s="57">
        <f t="shared" si="38"/>
        <v>3.6999999999999997</v>
      </c>
      <c r="CU9" s="57">
        <f t="shared" si="17"/>
        <v>3.5828571428571427</v>
      </c>
      <c r="CV9" s="57">
        <f t="shared" si="18"/>
        <v>3.1857142857142859</v>
      </c>
      <c r="CW9" s="57"/>
      <c r="CX9" s="57">
        <f t="shared" si="19"/>
        <v>2.3742857142857141</v>
      </c>
      <c r="CY9" s="57">
        <f t="shared" si="41"/>
        <v>3.1257142857142854</v>
      </c>
      <c r="CZ9" s="57">
        <f t="shared" si="20"/>
        <v>3.3014285714285712</v>
      </c>
      <c r="DA9" s="57"/>
      <c r="DB9" s="57"/>
      <c r="DC9" s="57">
        <f t="shared" si="21"/>
        <v>3.4274999999999998</v>
      </c>
      <c r="DD9" s="57">
        <f t="shared" si="22"/>
        <v>2.7800000000000002</v>
      </c>
      <c r="DE9" s="57">
        <f t="shared" si="23"/>
        <v>2.6999999999999997</v>
      </c>
      <c r="DF9" s="57">
        <f t="shared" si="24"/>
        <v>1.9857142857142858</v>
      </c>
      <c r="GA9" s="16">
        <v>13</v>
      </c>
      <c r="GB9" s="16">
        <v>15</v>
      </c>
      <c r="GC9" s="16">
        <v>14</v>
      </c>
      <c r="GE9" s="16">
        <v>0</v>
      </c>
      <c r="GF9" s="16">
        <v>0</v>
      </c>
      <c r="GG9" s="16">
        <v>0</v>
      </c>
      <c r="GM9" s="58"/>
      <c r="GN9" s="88">
        <v>8209</v>
      </c>
      <c r="GO9" s="48">
        <v>16.7</v>
      </c>
      <c r="GP9" s="48">
        <v>4.5</v>
      </c>
      <c r="GQ9" s="48">
        <v>1.73</v>
      </c>
      <c r="GR9" s="48">
        <v>32.5</v>
      </c>
      <c r="GS9" s="94">
        <f>GR9*H9</f>
        <v>2294.5</v>
      </c>
      <c r="GT9" s="48"/>
      <c r="GU9" s="48"/>
      <c r="GV9" s="48"/>
      <c r="GW9" s="48"/>
      <c r="GX9" s="48"/>
      <c r="GY9" s="94">
        <f>GX9*N9</f>
        <v>0</v>
      </c>
    </row>
    <row r="10" spans="1:207" x14ac:dyDescent="0.35">
      <c r="A10">
        <v>9</v>
      </c>
      <c r="B10" t="s">
        <v>155</v>
      </c>
      <c r="C10" t="s">
        <v>239</v>
      </c>
      <c r="E10" t="s">
        <v>43</v>
      </c>
      <c r="F10">
        <v>58</v>
      </c>
      <c r="G10">
        <v>1.77</v>
      </c>
      <c r="H10" s="23">
        <v>81</v>
      </c>
      <c r="I10" s="23">
        <f t="shared" si="25"/>
        <v>25.854639471416256</v>
      </c>
      <c r="J10" s="23">
        <v>2.94</v>
      </c>
      <c r="K10" s="98">
        <v>3.5</v>
      </c>
      <c r="L10" s="23">
        <v>30.4</v>
      </c>
      <c r="M10" s="7">
        <f t="shared" si="0"/>
        <v>0.5</v>
      </c>
      <c r="N10" s="7">
        <f t="shared" si="1"/>
        <v>0.4210526315789474</v>
      </c>
      <c r="O10" s="7">
        <f t="shared" si="2"/>
        <v>0.8421052631578948</v>
      </c>
      <c r="P10" s="7">
        <f t="shared" si="39"/>
        <v>0.92105263157894746</v>
      </c>
      <c r="Q10" s="1">
        <v>15.2</v>
      </c>
      <c r="R10" s="71">
        <f t="shared" si="26"/>
        <v>16.72</v>
      </c>
      <c r="S10" s="4">
        <f t="shared" si="3"/>
        <v>4.3428571428571425</v>
      </c>
      <c r="T10" s="4">
        <f t="shared" si="4"/>
        <v>4.3428571428571425</v>
      </c>
      <c r="U10" s="1">
        <v>1.25</v>
      </c>
      <c r="V10" s="1">
        <v>110</v>
      </c>
      <c r="W10" s="1">
        <v>635</v>
      </c>
      <c r="X10" s="1">
        <v>12.8</v>
      </c>
      <c r="Y10" s="1">
        <v>50</v>
      </c>
      <c r="Z10" s="1">
        <v>300</v>
      </c>
      <c r="AA10" s="4">
        <v>14</v>
      </c>
      <c r="AB10" s="1">
        <v>70</v>
      </c>
      <c r="AC10" s="1">
        <v>410</v>
      </c>
      <c r="AD10" s="1">
        <v>31.1</v>
      </c>
      <c r="AF10" s="1">
        <v>73</v>
      </c>
      <c r="AG10" s="1">
        <v>102</v>
      </c>
      <c r="AH10" s="1">
        <v>113</v>
      </c>
      <c r="AI10" s="1">
        <v>147</v>
      </c>
      <c r="AJ10" s="34">
        <f t="shared" si="27"/>
        <v>154.35</v>
      </c>
      <c r="AK10" s="18">
        <v>2.94</v>
      </c>
      <c r="AL10" s="18">
        <v>18.5</v>
      </c>
      <c r="AM10" s="17">
        <f t="shared" si="5"/>
        <v>1.2171052631578947</v>
      </c>
      <c r="AN10" s="33">
        <f t="shared" si="28"/>
        <v>1.1064593301435408</v>
      </c>
      <c r="AO10" s="18">
        <f t="shared" si="6"/>
        <v>5.2857142857142856</v>
      </c>
      <c r="AP10" s="18">
        <f t="shared" si="7"/>
        <v>6.2925170068027212</v>
      </c>
      <c r="AQ10" s="16">
        <v>1.04</v>
      </c>
      <c r="AR10" s="16">
        <v>13.2</v>
      </c>
      <c r="AS10" s="16">
        <v>13.5</v>
      </c>
      <c r="AT10" s="18">
        <f t="shared" si="8"/>
        <v>4.4897959183673466</v>
      </c>
      <c r="AU10" s="18">
        <f t="shared" si="29"/>
        <v>3.8571428571428572</v>
      </c>
      <c r="AV10" s="18">
        <f t="shared" si="30"/>
        <v>4.1734693877551017</v>
      </c>
      <c r="AW10" s="17">
        <f t="shared" si="9"/>
        <v>0.88815789473684215</v>
      </c>
      <c r="AX10" s="17">
        <f t="shared" si="10"/>
        <v>0.87828947368421051</v>
      </c>
      <c r="AY10" s="33">
        <f t="shared" si="31"/>
        <v>0.79844497607655507</v>
      </c>
      <c r="AZ10" s="16">
        <v>15.1</v>
      </c>
      <c r="BA10" s="17">
        <f t="shared" si="32"/>
        <v>0.99145299145299148</v>
      </c>
      <c r="BB10" s="17">
        <f t="shared" si="11"/>
        <v>0.99342105263157898</v>
      </c>
      <c r="BC10" s="33">
        <f t="shared" si="33"/>
        <v>0.90311004784688997</v>
      </c>
      <c r="BD10" s="18">
        <f t="shared" si="12"/>
        <v>4.3142857142857141</v>
      </c>
      <c r="BE10" s="18">
        <f t="shared" si="34"/>
        <v>4.3142857142857141</v>
      </c>
      <c r="BF10" s="16">
        <v>1.03</v>
      </c>
      <c r="BG10" s="16">
        <v>15.7</v>
      </c>
      <c r="BH10" s="16">
        <f>AVERAGE(15.2,15.8)</f>
        <v>15.5</v>
      </c>
      <c r="BI10" s="16">
        <v>15.9</v>
      </c>
      <c r="BK10" s="16">
        <v>15.6</v>
      </c>
      <c r="BL10" s="16">
        <v>15.6</v>
      </c>
      <c r="BM10" s="16">
        <f>AVERAGE(12.3,13.3)</f>
        <v>12.8</v>
      </c>
      <c r="BN10" s="16">
        <v>15</v>
      </c>
      <c r="BP10" s="18">
        <f t="shared" si="42"/>
        <v>14.919999999999998</v>
      </c>
      <c r="BQ10" s="18">
        <f>AVERAGE(BK10,BI10)</f>
        <v>15.75</v>
      </c>
      <c r="BR10" s="18">
        <f>AVERAGE(15.3)</f>
        <v>15.3</v>
      </c>
      <c r="BS10" s="16">
        <v>8.6999999999999993</v>
      </c>
      <c r="BT10" s="16">
        <v>88</v>
      </c>
      <c r="BU10" s="16">
        <v>147</v>
      </c>
      <c r="BV10" s="17">
        <f t="shared" si="13"/>
        <v>1</v>
      </c>
      <c r="BW10" s="16" t="s">
        <v>38</v>
      </c>
      <c r="BX10" s="16">
        <v>116</v>
      </c>
      <c r="BY10" s="16">
        <v>121</v>
      </c>
      <c r="BZ10" s="17">
        <f t="shared" si="35"/>
        <v>0.8231292517006803</v>
      </c>
      <c r="CA10" s="17">
        <f t="shared" si="36"/>
        <v>0.80612244897959184</v>
      </c>
      <c r="CB10" s="16">
        <v>136</v>
      </c>
      <c r="CC10" s="17">
        <f t="shared" si="37"/>
        <v>0.92517006802721091</v>
      </c>
      <c r="CD10" s="16">
        <v>127</v>
      </c>
      <c r="CE10" s="16">
        <f>AVERAGE(130,138)</f>
        <v>134</v>
      </c>
      <c r="CF10" s="16">
        <v>131</v>
      </c>
      <c r="CH10" s="16">
        <v>135</v>
      </c>
      <c r="CJ10" s="16">
        <v>141</v>
      </c>
      <c r="CK10" s="16">
        <v>142</v>
      </c>
      <c r="CL10" s="16">
        <f>AVERAGE(125,139)</f>
        <v>132</v>
      </c>
      <c r="CM10" s="20">
        <f t="shared" si="43"/>
        <v>133.19999999999999</v>
      </c>
      <c r="CN10" s="20">
        <f t="shared" si="40"/>
        <v>138</v>
      </c>
      <c r="CO10" s="16">
        <f>AVERAGE(142)</f>
        <v>142</v>
      </c>
      <c r="CP10" s="17">
        <f t="shared" si="14"/>
        <v>0.90612244897959171</v>
      </c>
      <c r="CQ10" s="17">
        <f t="shared" si="15"/>
        <v>0.93877551020408168</v>
      </c>
      <c r="CR10" s="17">
        <f t="shared" si="16"/>
        <v>0.96598639455782309</v>
      </c>
      <c r="CS10" s="16">
        <v>133</v>
      </c>
      <c r="CT10" s="57">
        <f t="shared" si="38"/>
        <v>4.4857142857142858</v>
      </c>
      <c r="CU10" s="57">
        <f t="shared" si="17"/>
        <v>4.4285714285714288</v>
      </c>
      <c r="CV10" s="57">
        <f t="shared" si="18"/>
        <v>4.5428571428571427</v>
      </c>
      <c r="CW10" s="57"/>
      <c r="CX10" s="57">
        <f t="shared" si="19"/>
        <v>4.4571428571428573</v>
      </c>
      <c r="CY10" s="57">
        <f t="shared" si="41"/>
        <v>4.4571428571428573</v>
      </c>
      <c r="CZ10" s="57">
        <f t="shared" si="20"/>
        <v>3.6571428571428575</v>
      </c>
      <c r="DA10" s="57">
        <f>BN10/K10</f>
        <v>4.2857142857142856</v>
      </c>
      <c r="DB10" s="57"/>
      <c r="DC10" s="57">
        <f t="shared" si="21"/>
        <v>4.2628571428571425</v>
      </c>
      <c r="DD10" s="57">
        <f t="shared" si="22"/>
        <v>4.5</v>
      </c>
      <c r="DE10" s="57">
        <f t="shared" si="23"/>
        <v>4.3714285714285719</v>
      </c>
      <c r="DF10" s="57">
        <f t="shared" si="24"/>
        <v>2.4857142857142853</v>
      </c>
      <c r="GA10" s="16">
        <v>11</v>
      </c>
      <c r="GB10" s="16">
        <v>13</v>
      </c>
      <c r="GC10" s="20">
        <f>AVERAGE(11,11,12,13,11,13)</f>
        <v>11.833333333333334</v>
      </c>
      <c r="GD10" s="20"/>
      <c r="GE10" s="16">
        <v>3</v>
      </c>
      <c r="GF10" s="16">
        <v>4</v>
      </c>
      <c r="GG10" s="20">
        <f>AVERAGE(4,4,3,3,4,3)</f>
        <v>3.5</v>
      </c>
      <c r="GH10" s="64"/>
      <c r="GI10" s="64"/>
      <c r="GJ10" s="64"/>
      <c r="GK10" s="64"/>
      <c r="GL10" s="64"/>
      <c r="GM10" s="69"/>
      <c r="GN10" s="53"/>
      <c r="GS10" s="94" t="s">
        <v>75</v>
      </c>
      <c r="GY10" s="94" t="s">
        <v>75</v>
      </c>
    </row>
    <row r="11" spans="1:207" x14ac:dyDescent="0.35">
      <c r="A11">
        <v>10</v>
      </c>
      <c r="B11" t="s">
        <v>155</v>
      </c>
      <c r="C11" t="s">
        <v>240</v>
      </c>
      <c r="D11" t="s">
        <v>192</v>
      </c>
      <c r="E11" t="s">
        <v>43</v>
      </c>
      <c r="F11">
        <v>66</v>
      </c>
      <c r="G11">
        <v>1.72</v>
      </c>
      <c r="H11" s="23">
        <v>117.3</v>
      </c>
      <c r="I11" s="23">
        <f t="shared" si="25"/>
        <v>39.649810708491081</v>
      </c>
      <c r="J11" s="23">
        <v>2.91</v>
      </c>
      <c r="K11" s="98">
        <v>3.5</v>
      </c>
      <c r="L11" s="23">
        <v>17</v>
      </c>
      <c r="M11" s="7">
        <f t="shared" si="0"/>
        <v>0.51764705882352946</v>
      </c>
      <c r="N11" s="7">
        <f t="shared" si="1"/>
        <v>0.35882352941176471</v>
      </c>
      <c r="O11" s="7">
        <f t="shared" si="2"/>
        <v>0.69318181818181812</v>
      </c>
      <c r="P11" s="70" t="s">
        <v>75</v>
      </c>
      <c r="Q11" s="1">
        <v>8.8000000000000007</v>
      </c>
      <c r="R11" s="71">
        <f t="shared" si="26"/>
        <v>9.6800000000000015</v>
      </c>
      <c r="S11" s="4">
        <f t="shared" si="3"/>
        <v>2.5142857142857147</v>
      </c>
      <c r="T11" s="4">
        <f t="shared" si="4"/>
        <v>2.5142857142857147</v>
      </c>
      <c r="U11" s="5">
        <v>1.1000000000000001</v>
      </c>
      <c r="V11" s="1">
        <v>60</v>
      </c>
      <c r="W11" s="1">
        <v>360</v>
      </c>
      <c r="X11" s="1">
        <v>6.1</v>
      </c>
      <c r="Y11" s="1">
        <v>20</v>
      </c>
      <c r="Z11" s="1">
        <v>120</v>
      </c>
      <c r="AA11" s="21" t="s">
        <v>96</v>
      </c>
      <c r="AB11" s="21" t="s">
        <v>96</v>
      </c>
      <c r="AC11" s="21" t="s">
        <v>96</v>
      </c>
      <c r="AD11" s="1">
        <v>32.6</v>
      </c>
      <c r="AE11" s="1" t="s">
        <v>161</v>
      </c>
      <c r="AF11" s="1">
        <v>58</v>
      </c>
      <c r="AG11" s="1">
        <v>74</v>
      </c>
      <c r="AH11" s="21" t="s">
        <v>96</v>
      </c>
      <c r="AI11" s="1">
        <v>84</v>
      </c>
      <c r="AJ11" s="34">
        <f t="shared" si="27"/>
        <v>88.2</v>
      </c>
      <c r="AK11" s="18">
        <v>2.9</v>
      </c>
      <c r="AL11" s="18">
        <v>12.8</v>
      </c>
      <c r="AM11" s="17">
        <f t="shared" si="5"/>
        <v>1.4545454545454546</v>
      </c>
      <c r="AN11" s="33">
        <f t="shared" si="28"/>
        <v>1.3223140495867767</v>
      </c>
      <c r="AO11" s="18">
        <f t="shared" si="6"/>
        <v>3.6571428571428575</v>
      </c>
      <c r="AP11" s="18">
        <f t="shared" si="7"/>
        <v>4.4137931034482758</v>
      </c>
      <c r="AQ11" s="16">
        <v>0.95</v>
      </c>
      <c r="AR11" s="16">
        <v>11.4</v>
      </c>
      <c r="AS11" s="16">
        <v>12.1</v>
      </c>
      <c r="AT11" s="18">
        <f t="shared" si="8"/>
        <v>3.931034482758621</v>
      </c>
      <c r="AU11" s="18">
        <f t="shared" si="29"/>
        <v>3.4571428571428569</v>
      </c>
      <c r="AV11" s="18">
        <f t="shared" si="30"/>
        <v>3.6940886699507391</v>
      </c>
      <c r="AW11" s="17">
        <f t="shared" si="9"/>
        <v>1.3749999999999998</v>
      </c>
      <c r="AX11" s="17">
        <f t="shared" si="10"/>
        <v>1.3352272727272727</v>
      </c>
      <c r="AY11" s="33">
        <f t="shared" si="31"/>
        <v>1.2138429752066113</v>
      </c>
      <c r="AZ11" s="16">
        <v>11.2</v>
      </c>
      <c r="BA11" s="17">
        <f t="shared" si="32"/>
        <v>1.452830188679245</v>
      </c>
      <c r="BB11" s="17">
        <f t="shared" si="11"/>
        <v>1.2727272727272725</v>
      </c>
      <c r="BC11" s="33">
        <f t="shared" si="33"/>
        <v>1.1570247933884295</v>
      </c>
      <c r="BD11" s="16">
        <f t="shared" si="12"/>
        <v>3.1999999999999997</v>
      </c>
      <c r="BE11" s="18">
        <f t="shared" si="34"/>
        <v>3.1999999999999997</v>
      </c>
      <c r="BF11" s="16">
        <v>0.99</v>
      </c>
      <c r="BG11" s="16">
        <v>10.5</v>
      </c>
      <c r="BH11" s="16">
        <v>12.6</v>
      </c>
      <c r="BK11" s="16">
        <v>10.6</v>
      </c>
      <c r="BL11" s="16">
        <v>11.9</v>
      </c>
      <c r="BM11" s="16">
        <v>12.5</v>
      </c>
      <c r="BO11" s="16">
        <v>10.8</v>
      </c>
      <c r="BP11" s="18">
        <f t="shared" si="42"/>
        <v>11.875</v>
      </c>
      <c r="BQ11" s="18">
        <f>AVERAGE(BK11,BI11,BO11)</f>
        <v>10.7</v>
      </c>
      <c r="BR11" s="18">
        <f>AVERAGE(12.2,11.1,10.9,10.3)</f>
        <v>11.125</v>
      </c>
      <c r="BS11" s="16">
        <v>8.8000000000000007</v>
      </c>
      <c r="BT11" s="16">
        <v>59</v>
      </c>
      <c r="BU11" s="16">
        <v>104</v>
      </c>
      <c r="BV11" s="60">
        <f t="shared" si="13"/>
        <v>1.2380952380952381</v>
      </c>
      <c r="BW11" s="16" t="s">
        <v>38</v>
      </c>
      <c r="BX11" s="16">
        <v>66</v>
      </c>
      <c r="BY11" s="16">
        <v>81</v>
      </c>
      <c r="BZ11" s="17">
        <f t="shared" si="35"/>
        <v>0.9642857142857143</v>
      </c>
      <c r="CA11" s="17">
        <f t="shared" si="36"/>
        <v>0.875</v>
      </c>
      <c r="CB11" s="16">
        <v>81</v>
      </c>
      <c r="CC11" s="17">
        <f t="shared" si="37"/>
        <v>0.9642857142857143</v>
      </c>
      <c r="CD11" s="16">
        <v>88</v>
      </c>
      <c r="CG11" s="16">
        <v>81</v>
      </c>
      <c r="CJ11" s="16">
        <v>76</v>
      </c>
      <c r="CK11" s="16">
        <v>77</v>
      </c>
      <c r="CL11" s="16">
        <v>79</v>
      </c>
      <c r="CM11" s="20">
        <f t="shared" si="43"/>
        <v>81.333333333333329</v>
      </c>
      <c r="CN11" s="20">
        <f>AVERAGE(CG11,CH11:CJ11)</f>
        <v>78.5</v>
      </c>
      <c r="CO11" s="20">
        <f>AVERAGE(88,81,87,78)</f>
        <v>83.5</v>
      </c>
      <c r="CP11" s="17">
        <f t="shared" si="14"/>
        <v>0.96825396825396814</v>
      </c>
      <c r="CQ11" s="17">
        <f t="shared" si="15"/>
        <v>0.93452380952380953</v>
      </c>
      <c r="CR11" s="17">
        <f t="shared" si="16"/>
        <v>0.99404761904761907</v>
      </c>
      <c r="CS11" s="16">
        <v>74</v>
      </c>
      <c r="CT11" s="57">
        <f t="shared" si="38"/>
        <v>3</v>
      </c>
      <c r="CU11" s="57">
        <f t="shared" si="17"/>
        <v>3.6</v>
      </c>
      <c r="CV11" s="57"/>
      <c r="CX11" s="57">
        <f t="shared" si="19"/>
        <v>3.0285714285714285</v>
      </c>
      <c r="CY11" s="57">
        <f t="shared" si="41"/>
        <v>3.4</v>
      </c>
      <c r="CZ11" s="57">
        <f t="shared" si="20"/>
        <v>3.5714285714285716</v>
      </c>
      <c r="DB11" s="57">
        <f>BO11/AK11</f>
        <v>3.7241379310344831</v>
      </c>
      <c r="DC11" s="57">
        <f t="shared" si="21"/>
        <v>3.3928571428571428</v>
      </c>
      <c r="DD11" s="57">
        <f t="shared" si="22"/>
        <v>3.0571428571428569</v>
      </c>
      <c r="DE11" s="57">
        <f t="shared" si="23"/>
        <v>3.1785714285714284</v>
      </c>
      <c r="DF11" s="57">
        <f t="shared" si="24"/>
        <v>2.5142857142857147</v>
      </c>
      <c r="GA11" s="16">
        <v>13</v>
      </c>
      <c r="GB11" s="16">
        <v>13</v>
      </c>
      <c r="GC11" s="16">
        <v>13</v>
      </c>
      <c r="GE11" s="16">
        <v>5</v>
      </c>
      <c r="GF11" s="16">
        <v>5</v>
      </c>
      <c r="GG11" s="16">
        <v>5</v>
      </c>
      <c r="GM11" s="58"/>
      <c r="GN11" s="53">
        <v>3945</v>
      </c>
      <c r="GO11" s="23">
        <v>20</v>
      </c>
      <c r="GP11">
        <v>2.9</v>
      </c>
      <c r="GQ11">
        <v>1.03</v>
      </c>
      <c r="GR11" s="23">
        <v>32</v>
      </c>
      <c r="GS11" s="94">
        <f>GR11*H11</f>
        <v>3753.6</v>
      </c>
      <c r="GY11" s="94">
        <f>GX11*N11</f>
        <v>0</v>
      </c>
    </row>
    <row r="12" spans="1:207" x14ac:dyDescent="0.35">
      <c r="A12">
        <v>11</v>
      </c>
      <c r="B12" t="s">
        <v>155</v>
      </c>
      <c r="C12" t="s">
        <v>240</v>
      </c>
      <c r="D12" t="s">
        <v>215</v>
      </c>
      <c r="E12" t="s">
        <v>43</v>
      </c>
      <c r="F12">
        <v>69</v>
      </c>
      <c r="G12">
        <v>1.87</v>
      </c>
      <c r="H12" s="23">
        <v>118.3</v>
      </c>
      <c r="I12" s="23">
        <f t="shared" si="25"/>
        <v>33.829963682118439</v>
      </c>
      <c r="J12" s="23">
        <v>3.33</v>
      </c>
      <c r="K12" s="98">
        <v>3.5</v>
      </c>
      <c r="L12" s="23">
        <v>23.1</v>
      </c>
      <c r="M12" s="7">
        <f t="shared" si="0"/>
        <v>0.62770562770562766</v>
      </c>
      <c r="N12" s="7">
        <f t="shared" si="1"/>
        <v>0.41991341991341985</v>
      </c>
      <c r="O12" s="7">
        <f t="shared" si="2"/>
        <v>0.66896551724137931</v>
      </c>
      <c r="P12" s="7">
        <f t="shared" si="39"/>
        <v>0.79999999999999993</v>
      </c>
      <c r="Q12" s="1">
        <v>14.5</v>
      </c>
      <c r="R12" s="71">
        <f t="shared" si="26"/>
        <v>15.950000000000001</v>
      </c>
      <c r="S12" s="4">
        <f t="shared" si="3"/>
        <v>4.1428571428571432</v>
      </c>
      <c r="T12" s="4">
        <f t="shared" si="4"/>
        <v>4.1428571428571432</v>
      </c>
      <c r="U12" s="5">
        <v>1.18</v>
      </c>
      <c r="V12" s="1">
        <v>80</v>
      </c>
      <c r="W12" s="1">
        <v>450</v>
      </c>
      <c r="X12" s="1">
        <v>9.6999999999999993</v>
      </c>
      <c r="Y12" s="1">
        <v>30</v>
      </c>
      <c r="Z12" s="1">
        <v>135</v>
      </c>
      <c r="AA12" s="21">
        <v>11.6</v>
      </c>
      <c r="AB12" s="21">
        <v>80</v>
      </c>
      <c r="AC12" s="21">
        <v>225</v>
      </c>
      <c r="AD12" s="1">
        <v>33.020000000000003</v>
      </c>
      <c r="AE12" s="1" t="s">
        <v>82</v>
      </c>
      <c r="AF12" s="1">
        <v>66</v>
      </c>
      <c r="AG12" s="1">
        <v>80</v>
      </c>
      <c r="AH12" s="1">
        <v>91</v>
      </c>
      <c r="AI12" s="1">
        <v>104</v>
      </c>
      <c r="AJ12" s="34">
        <f t="shared" si="27"/>
        <v>109.2</v>
      </c>
      <c r="AK12" s="18">
        <v>3.3</v>
      </c>
      <c r="AL12" s="18">
        <v>14.4</v>
      </c>
      <c r="AM12" s="17">
        <f t="shared" si="5"/>
        <v>0.99310344827586206</v>
      </c>
      <c r="AN12" s="33">
        <f t="shared" si="28"/>
        <v>0.90282131661442</v>
      </c>
      <c r="AO12" s="18">
        <f t="shared" si="6"/>
        <v>4.1142857142857148</v>
      </c>
      <c r="AP12" s="18">
        <f t="shared" si="7"/>
        <v>4.3636363636363642</v>
      </c>
      <c r="AQ12" s="19">
        <v>0.9</v>
      </c>
      <c r="AR12" s="16">
        <v>12.2</v>
      </c>
      <c r="AS12" s="16">
        <v>12.9</v>
      </c>
      <c r="AT12" s="18">
        <f t="shared" si="8"/>
        <v>3.6969696969696968</v>
      </c>
      <c r="AU12" s="18">
        <f t="shared" si="29"/>
        <v>3.6857142857142859</v>
      </c>
      <c r="AV12" s="18">
        <f t="shared" si="30"/>
        <v>3.6913419913419911</v>
      </c>
      <c r="AW12" s="17">
        <f t="shared" si="9"/>
        <v>0.8896551724137931</v>
      </c>
      <c r="AX12" s="17">
        <f t="shared" si="10"/>
        <v>0.86551724137931041</v>
      </c>
      <c r="AY12" s="33">
        <f t="shared" si="31"/>
        <v>0.78683385579937304</v>
      </c>
      <c r="AZ12" s="16">
        <v>11.3</v>
      </c>
      <c r="BA12" s="17">
        <f t="shared" si="32"/>
        <v>0.70909090909090911</v>
      </c>
      <c r="BB12" s="17">
        <f t="shared" si="11"/>
        <v>0.77931034482758621</v>
      </c>
      <c r="BC12" s="33">
        <f t="shared" si="33"/>
        <v>0.70846394984326022</v>
      </c>
      <c r="BD12" s="18">
        <f t="shared" si="12"/>
        <v>3.2285714285714286</v>
      </c>
      <c r="BE12" s="18">
        <f t="shared" si="34"/>
        <v>3.2285714285714286</v>
      </c>
      <c r="BF12" s="16">
        <v>0.97</v>
      </c>
      <c r="BG12" s="16">
        <v>11.3</v>
      </c>
      <c r="BH12" s="16">
        <v>11.7</v>
      </c>
      <c r="BJ12" s="16">
        <v>10.4</v>
      </c>
      <c r="BK12" s="16">
        <v>12.9</v>
      </c>
      <c r="BL12" s="16">
        <v>10.6</v>
      </c>
      <c r="BM12" s="16">
        <v>12.4</v>
      </c>
      <c r="BP12" s="18">
        <f t="shared" si="42"/>
        <v>11.5</v>
      </c>
      <c r="BQ12" s="18">
        <f>AVERAGE(BK12,BI12,BO12,BJ12)</f>
        <v>11.65</v>
      </c>
      <c r="BR12" s="18">
        <f>AVERAGE(11.4,10.6,9.9,10.9)</f>
        <v>10.7</v>
      </c>
      <c r="BS12" s="16">
        <v>7.1</v>
      </c>
      <c r="BT12" s="16">
        <v>56</v>
      </c>
      <c r="BU12" s="16">
        <v>101</v>
      </c>
      <c r="BV12" s="17">
        <f t="shared" si="13"/>
        <v>0.97115384615384615</v>
      </c>
      <c r="BW12" s="16" t="s">
        <v>38</v>
      </c>
      <c r="BX12" s="16">
        <v>83</v>
      </c>
      <c r="BY12" s="16">
        <v>91</v>
      </c>
      <c r="BZ12" s="17">
        <f t="shared" si="35"/>
        <v>0.875</v>
      </c>
      <c r="CA12" s="17">
        <f t="shared" si="36"/>
        <v>0.83653846153846156</v>
      </c>
      <c r="CB12" s="16">
        <v>91</v>
      </c>
      <c r="CC12" s="17">
        <f t="shared" si="37"/>
        <v>0.875</v>
      </c>
      <c r="CD12" s="16">
        <v>89</v>
      </c>
      <c r="CE12" s="16">
        <v>91</v>
      </c>
      <c r="CI12" s="16">
        <v>84</v>
      </c>
      <c r="CJ12" s="16">
        <v>92</v>
      </c>
      <c r="CK12" s="16">
        <v>86</v>
      </c>
      <c r="CL12" s="16">
        <v>90</v>
      </c>
      <c r="CM12" s="20">
        <f t="shared" si="43"/>
        <v>89</v>
      </c>
      <c r="CN12" s="20">
        <f>AVERAGE(CG12,CH12:CJ12,CI12)</f>
        <v>86.666666666666671</v>
      </c>
      <c r="CO12" s="20">
        <f>AVERAGE(91,92,88,91)</f>
        <v>90.5</v>
      </c>
      <c r="CP12" s="17">
        <f t="shared" si="14"/>
        <v>0.85576923076923073</v>
      </c>
      <c r="CQ12" s="17">
        <f t="shared" si="15"/>
        <v>0.83333333333333337</v>
      </c>
      <c r="CR12" s="17">
        <f t="shared" si="16"/>
        <v>0.87019230769230771</v>
      </c>
      <c r="CS12" s="16">
        <v>86</v>
      </c>
      <c r="CT12" s="57">
        <f t="shared" si="38"/>
        <v>3.2285714285714286</v>
      </c>
      <c r="CU12" s="57">
        <f t="shared" si="17"/>
        <v>3.3428571428571425</v>
      </c>
      <c r="CV12" s="57"/>
      <c r="CW12" s="57">
        <f>BJ12/K12</f>
        <v>2.9714285714285715</v>
      </c>
      <c r="CX12" s="57">
        <f t="shared" si="19"/>
        <v>3.6857142857142859</v>
      </c>
      <c r="CY12" s="57">
        <f t="shared" si="41"/>
        <v>3.0285714285714285</v>
      </c>
      <c r="CZ12" s="57">
        <f t="shared" si="20"/>
        <v>3.5428571428571431</v>
      </c>
      <c r="DC12" s="57">
        <f t="shared" si="21"/>
        <v>3.2857142857142856</v>
      </c>
      <c r="DD12" s="57">
        <f t="shared" si="22"/>
        <v>3.3285714285714287</v>
      </c>
      <c r="DE12" s="57">
        <f t="shared" si="23"/>
        <v>3.0571428571428569</v>
      </c>
      <c r="DF12" s="57">
        <f t="shared" si="24"/>
        <v>2.0285714285714285</v>
      </c>
      <c r="GA12" s="16">
        <v>13</v>
      </c>
      <c r="GB12" s="16">
        <v>13</v>
      </c>
      <c r="GC12" s="16">
        <v>13</v>
      </c>
      <c r="GD12" s="16">
        <v>0</v>
      </c>
      <c r="GE12" s="16">
        <v>-2</v>
      </c>
      <c r="GF12" s="16">
        <v>0</v>
      </c>
      <c r="GG12" s="16">
        <v>-2</v>
      </c>
      <c r="GM12" s="58"/>
      <c r="GN12" s="53">
        <v>2735</v>
      </c>
      <c r="GO12" s="23">
        <v>21</v>
      </c>
      <c r="GP12">
        <v>2.2999999999999998</v>
      </c>
      <c r="GQ12">
        <v>0.74</v>
      </c>
      <c r="GR12">
        <v>31.4</v>
      </c>
      <c r="GS12" s="94">
        <f>GR12*H12</f>
        <v>3714.62</v>
      </c>
      <c r="GY12" s="94">
        <f>GX12*N12</f>
        <v>0</v>
      </c>
    </row>
    <row r="13" spans="1:207" x14ac:dyDescent="0.35">
      <c r="A13">
        <v>12</v>
      </c>
      <c r="B13" t="s">
        <v>156</v>
      </c>
      <c r="C13" t="s">
        <v>240</v>
      </c>
      <c r="D13" t="s">
        <v>233</v>
      </c>
      <c r="E13" t="s">
        <v>43</v>
      </c>
      <c r="F13">
        <v>74</v>
      </c>
      <c r="G13">
        <v>1.72</v>
      </c>
      <c r="H13" s="23">
        <v>109</v>
      </c>
      <c r="I13" s="23">
        <f t="shared" si="25"/>
        <v>36.844240129799893</v>
      </c>
      <c r="J13" s="23">
        <v>3.75</v>
      </c>
      <c r="K13" s="98">
        <v>3.5</v>
      </c>
      <c r="L13" s="23">
        <v>18.5</v>
      </c>
      <c r="M13" s="7">
        <f t="shared" si="0"/>
        <v>0.61621621621621625</v>
      </c>
      <c r="N13" s="7">
        <f t="shared" si="1"/>
        <v>0.41081081081081078</v>
      </c>
      <c r="O13" s="7">
        <f t="shared" si="2"/>
        <v>0.66666666666666663</v>
      </c>
      <c r="P13" s="70" t="s">
        <v>75</v>
      </c>
      <c r="Q13" s="1">
        <v>11.4</v>
      </c>
      <c r="R13" s="71">
        <f t="shared" si="26"/>
        <v>12.540000000000001</v>
      </c>
      <c r="S13" s="4">
        <f t="shared" si="3"/>
        <v>3.2571428571428571</v>
      </c>
      <c r="T13" s="4">
        <f t="shared" si="4"/>
        <v>3.2571428571428571</v>
      </c>
      <c r="U13" s="62">
        <v>0.99</v>
      </c>
      <c r="V13" s="1">
        <v>60</v>
      </c>
      <c r="W13" s="1">
        <v>360</v>
      </c>
      <c r="X13" s="1">
        <v>7.6</v>
      </c>
      <c r="Y13" s="1">
        <v>10</v>
      </c>
      <c r="Z13" s="1">
        <v>100</v>
      </c>
      <c r="AA13" s="21" t="s">
        <v>96</v>
      </c>
      <c r="AB13" s="21" t="s">
        <v>96</v>
      </c>
      <c r="AC13" s="21" t="s">
        <v>96</v>
      </c>
      <c r="AD13" s="1">
        <v>31.73</v>
      </c>
      <c r="AE13" s="1" t="s">
        <v>234</v>
      </c>
      <c r="AF13" s="1">
        <v>58</v>
      </c>
      <c r="AG13" s="1">
        <v>78</v>
      </c>
      <c r="AH13" s="21" t="s">
        <v>96</v>
      </c>
      <c r="AI13" s="1">
        <v>81</v>
      </c>
      <c r="AJ13" s="34">
        <f t="shared" si="27"/>
        <v>85.05</v>
      </c>
      <c r="AK13" s="18">
        <v>2.7</v>
      </c>
      <c r="AL13" s="18">
        <v>16.399999999999999</v>
      </c>
      <c r="AM13" s="17">
        <f t="shared" si="5"/>
        <v>1.43859649122807</v>
      </c>
      <c r="AN13" s="33">
        <f t="shared" si="28"/>
        <v>1.3078149920255182</v>
      </c>
      <c r="AO13" s="18">
        <f t="shared" si="6"/>
        <v>4.6857142857142851</v>
      </c>
      <c r="AP13" s="18">
        <f t="shared" si="7"/>
        <v>6.0740740740740735</v>
      </c>
      <c r="AQ13" s="19">
        <v>0.84</v>
      </c>
      <c r="AR13" s="16">
        <v>9.1</v>
      </c>
      <c r="AS13" s="16">
        <v>11.8</v>
      </c>
      <c r="AT13" s="18">
        <f t="shared" si="8"/>
        <v>3.3703703703703702</v>
      </c>
      <c r="AU13" s="18">
        <f t="shared" si="29"/>
        <v>3.3714285714285714</v>
      </c>
      <c r="AV13" s="18">
        <f t="shared" si="30"/>
        <v>3.3708994708994711</v>
      </c>
      <c r="AW13" s="17">
        <f t="shared" si="9"/>
        <v>1.0350877192982457</v>
      </c>
      <c r="AX13" s="17">
        <f t="shared" si="10"/>
        <v>0.91666666666666663</v>
      </c>
      <c r="AY13" s="33">
        <f t="shared" si="31"/>
        <v>0.83333333333333326</v>
      </c>
      <c r="AZ13" s="16">
        <v>12.1</v>
      </c>
      <c r="BA13" s="17">
        <f t="shared" si="32"/>
        <v>1.0886075949367087</v>
      </c>
      <c r="BB13" s="17">
        <f t="shared" si="11"/>
        <v>1.0614035087719298</v>
      </c>
      <c r="BC13" s="33">
        <f t="shared" si="33"/>
        <v>0.96491228070175428</v>
      </c>
      <c r="BD13" s="18">
        <f t="shared" si="12"/>
        <v>3.4571428571428569</v>
      </c>
      <c r="BE13" s="18">
        <f t="shared" si="34"/>
        <v>3.4571428571428569</v>
      </c>
      <c r="BF13" s="16">
        <v>0.87</v>
      </c>
      <c r="BG13" s="18">
        <v>13</v>
      </c>
      <c r="BH13" s="18">
        <v>14</v>
      </c>
      <c r="BI13" s="16">
        <v>15.1</v>
      </c>
      <c r="BK13" s="16">
        <v>12.4</v>
      </c>
      <c r="BL13" s="16">
        <v>10.7</v>
      </c>
      <c r="BM13" s="16">
        <v>12.8</v>
      </c>
      <c r="BP13" s="18">
        <f t="shared" si="42"/>
        <v>12.625</v>
      </c>
      <c r="BQ13" s="18">
        <f>AVERAGE(BK13,BI13,BO13,BJ13)</f>
        <v>13.75</v>
      </c>
      <c r="BR13" s="18">
        <f>AVERAGE(9.6,12.2, 12.1, 10)</f>
        <v>10.975</v>
      </c>
      <c r="BS13" s="16">
        <v>11.7</v>
      </c>
      <c r="BT13" s="16">
        <v>60</v>
      </c>
      <c r="BU13" s="16">
        <v>107</v>
      </c>
      <c r="BV13" s="17">
        <f t="shared" si="13"/>
        <v>1.3209876543209877</v>
      </c>
      <c r="BW13" s="16" t="s">
        <v>38</v>
      </c>
      <c r="BX13" s="16">
        <v>74</v>
      </c>
      <c r="BY13" s="16">
        <v>83</v>
      </c>
      <c r="BZ13" s="17">
        <f>BY13/AI16</f>
        <v>0.75454545454545452</v>
      </c>
      <c r="CA13" s="17">
        <f>AVERAGE(BX13:BY13)/AI16</f>
        <v>0.71363636363636362</v>
      </c>
      <c r="CB13" s="16">
        <v>81</v>
      </c>
      <c r="CC13" s="17">
        <f t="shared" si="37"/>
        <v>1</v>
      </c>
      <c r="CD13" s="16">
        <v>89</v>
      </c>
      <c r="CH13" s="16">
        <v>84</v>
      </c>
      <c r="CJ13" s="16">
        <v>91</v>
      </c>
      <c r="CK13" s="16">
        <v>69</v>
      </c>
      <c r="CL13" s="16">
        <v>74</v>
      </c>
      <c r="CM13" s="20">
        <f t="shared" si="43"/>
        <v>77.333333333333329</v>
      </c>
      <c r="CN13" s="20">
        <f>AVERAGE(CG13,CH13:CJ13,CI13)</f>
        <v>87.5</v>
      </c>
      <c r="CO13" s="20">
        <f>AVERAGE(74,82,89,72,84)</f>
        <v>80.2</v>
      </c>
      <c r="CP13" s="17">
        <f t="shared" si="14"/>
        <v>0.95473251028806583</v>
      </c>
      <c r="CQ13" s="17">
        <f t="shared" si="15"/>
        <v>1.0802469135802468</v>
      </c>
      <c r="CR13" s="17">
        <f t="shared" si="16"/>
        <v>0.99012345679012348</v>
      </c>
      <c r="CS13" s="16">
        <v>75</v>
      </c>
      <c r="CT13" s="57">
        <f t="shared" si="38"/>
        <v>3.7142857142857144</v>
      </c>
      <c r="CU13" s="57">
        <f t="shared" si="17"/>
        <v>4</v>
      </c>
      <c r="CV13" s="57">
        <f t="shared" si="18"/>
        <v>4.3142857142857141</v>
      </c>
      <c r="CW13" s="57"/>
      <c r="CX13" s="57">
        <f t="shared" si="19"/>
        <v>3.5428571428571431</v>
      </c>
      <c r="CY13" s="57">
        <f t="shared" si="41"/>
        <v>3.0571428571428569</v>
      </c>
      <c r="CZ13" s="57">
        <f t="shared" si="20"/>
        <v>3.6571428571428575</v>
      </c>
      <c r="DC13" s="57">
        <f t="shared" si="21"/>
        <v>3.6071428571428572</v>
      </c>
      <c r="DD13" s="57">
        <f t="shared" si="22"/>
        <v>3.9285714285714284</v>
      </c>
      <c r="DE13" s="57">
        <f t="shared" si="23"/>
        <v>3.1357142857142857</v>
      </c>
      <c r="DF13" s="57">
        <f t="shared" si="24"/>
        <v>3.3428571428571425</v>
      </c>
      <c r="GA13" s="16">
        <v>11</v>
      </c>
      <c r="GB13" s="16">
        <v>15</v>
      </c>
      <c r="GC13" s="16">
        <f>AVERAGE(13,13,15,13,11,11,15)</f>
        <v>13</v>
      </c>
      <c r="GD13" s="16">
        <v>0</v>
      </c>
      <c r="GE13" s="16">
        <v>-2</v>
      </c>
      <c r="GF13" s="16">
        <v>2</v>
      </c>
      <c r="GG13" s="20">
        <v>1</v>
      </c>
      <c r="GM13" s="58"/>
      <c r="GN13" s="53"/>
      <c r="GO13" s="23"/>
      <c r="GS13" s="94" t="s">
        <v>75</v>
      </c>
      <c r="GY13" s="94" t="s">
        <v>75</v>
      </c>
    </row>
    <row r="14" spans="1:207" x14ac:dyDescent="0.35">
      <c r="A14">
        <v>13</v>
      </c>
      <c r="B14" t="s">
        <v>155</v>
      </c>
      <c r="C14" t="s">
        <v>240</v>
      </c>
      <c r="D14" t="s">
        <v>235</v>
      </c>
      <c r="E14" t="s">
        <v>43</v>
      </c>
      <c r="F14">
        <v>82</v>
      </c>
      <c r="G14">
        <v>1.65</v>
      </c>
      <c r="H14" s="23">
        <v>94.1</v>
      </c>
      <c r="I14" s="23">
        <f t="shared" si="25"/>
        <v>34.563820018365476</v>
      </c>
      <c r="J14" s="23">
        <v>3.2</v>
      </c>
      <c r="K14" s="98">
        <v>3.5</v>
      </c>
      <c r="L14" s="23">
        <v>12.9</v>
      </c>
      <c r="M14" s="7">
        <f t="shared" si="0"/>
        <v>1.2093023255813953</v>
      </c>
      <c r="N14" s="7">
        <f t="shared" si="1"/>
        <v>0.87596899224806202</v>
      </c>
      <c r="O14" s="7">
        <f t="shared" si="2"/>
        <v>0.72435897435897445</v>
      </c>
      <c r="P14" s="7">
        <f t="shared" si="39"/>
        <v>0.80769230769230771</v>
      </c>
      <c r="Q14" s="1">
        <v>15.6</v>
      </c>
      <c r="R14" s="71">
        <f t="shared" si="26"/>
        <v>17.16</v>
      </c>
      <c r="S14" s="4">
        <f t="shared" si="3"/>
        <v>4.4571428571428573</v>
      </c>
      <c r="T14" s="4">
        <f t="shared" si="4"/>
        <v>4.4571428571428573</v>
      </c>
      <c r="U14" s="5">
        <v>1.05</v>
      </c>
      <c r="V14" s="1">
        <v>70</v>
      </c>
      <c r="W14" s="1">
        <v>420</v>
      </c>
      <c r="X14" s="1">
        <v>11.3</v>
      </c>
      <c r="Y14" s="1">
        <v>20</v>
      </c>
      <c r="Z14" s="1">
        <v>110</v>
      </c>
      <c r="AA14" s="21">
        <v>12.6</v>
      </c>
      <c r="AB14" s="21">
        <v>50</v>
      </c>
      <c r="AC14" s="21">
        <v>300</v>
      </c>
      <c r="AD14" s="1">
        <v>33.270000000000003</v>
      </c>
      <c r="AF14" s="1">
        <v>86</v>
      </c>
      <c r="AG14" s="1">
        <v>103</v>
      </c>
      <c r="AH14" s="1">
        <v>109</v>
      </c>
      <c r="AI14" s="1">
        <v>111</v>
      </c>
      <c r="AJ14" s="34">
        <f t="shared" si="27"/>
        <v>116.55000000000001</v>
      </c>
      <c r="AK14" s="16">
        <v>2.6</v>
      </c>
      <c r="AL14" s="18">
        <v>18</v>
      </c>
      <c r="AM14" s="17">
        <f t="shared" si="5"/>
        <v>1.153846153846154</v>
      </c>
      <c r="AN14" s="33">
        <f t="shared" si="28"/>
        <v>1.048951048951049</v>
      </c>
      <c r="AO14" s="18">
        <f t="shared" si="6"/>
        <v>5.1428571428571432</v>
      </c>
      <c r="AP14" s="18">
        <f t="shared" si="7"/>
        <v>6.9230769230769225</v>
      </c>
      <c r="AQ14" s="19">
        <v>0.8</v>
      </c>
      <c r="AR14" s="16">
        <v>12.5</v>
      </c>
      <c r="AS14" s="16">
        <v>14.5</v>
      </c>
      <c r="AT14" s="18">
        <f t="shared" si="8"/>
        <v>4.8076923076923075</v>
      </c>
      <c r="AU14" s="18">
        <f t="shared" si="29"/>
        <v>4.1428571428571432</v>
      </c>
      <c r="AV14" s="18">
        <f t="shared" si="30"/>
        <v>4.4752747252747254</v>
      </c>
      <c r="AW14" s="17">
        <f t="shared" si="9"/>
        <v>0.92948717948717952</v>
      </c>
      <c r="AX14" s="17">
        <f t="shared" si="10"/>
        <v>0.86538461538461542</v>
      </c>
      <c r="AY14" s="33">
        <f t="shared" si="31"/>
        <v>0.78671328671328666</v>
      </c>
      <c r="AZ14" s="16">
        <v>14.7</v>
      </c>
      <c r="BA14" s="17">
        <f t="shared" si="32"/>
        <v>0.92561983471074372</v>
      </c>
      <c r="BB14" s="17">
        <f t="shared" si="11"/>
        <v>0.94230769230769229</v>
      </c>
      <c r="BC14" s="33">
        <f t="shared" si="33"/>
        <v>0.85664335664335656</v>
      </c>
      <c r="BD14" s="18">
        <f t="shared" si="12"/>
        <v>4.2</v>
      </c>
      <c r="BE14" s="18">
        <f t="shared" si="34"/>
        <v>4.2</v>
      </c>
      <c r="BF14" s="16">
        <v>0.86</v>
      </c>
      <c r="BG14" s="16">
        <v>15.2</v>
      </c>
      <c r="BH14" s="16">
        <v>15.4</v>
      </c>
      <c r="BK14" s="16">
        <v>16.100000000000001</v>
      </c>
      <c r="BL14" s="16">
        <v>12.6</v>
      </c>
      <c r="BM14" s="16">
        <v>11.4</v>
      </c>
      <c r="BP14" s="18">
        <f t="shared" si="42"/>
        <v>13.65</v>
      </c>
      <c r="BQ14" s="18">
        <f>AVERAGE(BK14,BI14,BO14,BJ14)</f>
        <v>16.100000000000001</v>
      </c>
      <c r="BR14" s="18">
        <f>AVERAGE(14.6, 17.1, 14.5, 15.4)</f>
        <v>15.4</v>
      </c>
      <c r="BS14" s="16">
        <v>10.9</v>
      </c>
      <c r="BT14" s="16">
        <v>79</v>
      </c>
      <c r="BU14" s="16">
        <v>117</v>
      </c>
      <c r="BV14" s="17">
        <f t="shared" si="13"/>
        <v>1.0540540540540539</v>
      </c>
      <c r="BW14" s="16" t="s">
        <v>38</v>
      </c>
      <c r="BX14" s="16">
        <v>101</v>
      </c>
      <c r="BY14" s="16">
        <v>106</v>
      </c>
      <c r="BZ14" s="17">
        <f t="shared" si="35"/>
        <v>0.95495495495495497</v>
      </c>
      <c r="CA14" s="17">
        <f t="shared" si="36"/>
        <v>0.93243243243243246</v>
      </c>
      <c r="CB14" s="16">
        <v>108</v>
      </c>
      <c r="CC14" s="17">
        <f t="shared" si="37"/>
        <v>0.97297297297297303</v>
      </c>
      <c r="CD14" s="16">
        <v>110</v>
      </c>
      <c r="CE14" s="16">
        <v>112</v>
      </c>
      <c r="CJ14" s="16">
        <v>109</v>
      </c>
      <c r="CK14" s="16">
        <v>105</v>
      </c>
      <c r="CL14" s="16">
        <v>103</v>
      </c>
      <c r="CM14" s="20">
        <f t="shared" si="43"/>
        <v>107.5</v>
      </c>
      <c r="CN14" s="20">
        <f>AVERAGE(CG14,CH14:CJ14,CI14)</f>
        <v>109</v>
      </c>
      <c r="CO14" s="20">
        <f>AVERAGE(108, 109, 107, 112)</f>
        <v>109</v>
      </c>
      <c r="CP14" s="17">
        <f t="shared" si="14"/>
        <v>0.96846846846846846</v>
      </c>
      <c r="CQ14" s="17">
        <f t="shared" si="15"/>
        <v>0.98198198198198194</v>
      </c>
      <c r="CR14" s="17">
        <f t="shared" si="16"/>
        <v>0.98198198198198194</v>
      </c>
      <c r="CS14" s="16">
        <v>109</v>
      </c>
      <c r="CT14" s="57">
        <f t="shared" si="38"/>
        <v>4.3428571428571425</v>
      </c>
      <c r="CU14" s="57">
        <f t="shared" si="17"/>
        <v>4.4000000000000004</v>
      </c>
      <c r="CV14" s="57"/>
      <c r="CW14" s="57" t="s">
        <v>75</v>
      </c>
      <c r="CX14" s="57">
        <f t="shared" si="19"/>
        <v>4.6000000000000005</v>
      </c>
      <c r="CY14" s="57">
        <f t="shared" si="41"/>
        <v>3.6</v>
      </c>
      <c r="CZ14" s="57">
        <f t="shared" si="20"/>
        <v>3.2571428571428571</v>
      </c>
      <c r="DC14" s="57">
        <f t="shared" si="21"/>
        <v>3.9</v>
      </c>
      <c r="DD14" s="57">
        <f t="shared" si="22"/>
        <v>4.6000000000000005</v>
      </c>
      <c r="DE14" s="57">
        <f t="shared" si="23"/>
        <v>4.4000000000000004</v>
      </c>
      <c r="DF14" s="57">
        <f t="shared" si="24"/>
        <v>3.1142857142857143</v>
      </c>
      <c r="GA14" s="16">
        <v>11</v>
      </c>
      <c r="GB14" s="16">
        <v>17</v>
      </c>
      <c r="GC14" s="20">
        <f>AVERAGE(13,11,11,13,15,13,15,17,13,15)</f>
        <v>13.6</v>
      </c>
      <c r="GD14" s="20">
        <v>5</v>
      </c>
      <c r="GE14" s="16">
        <v>3</v>
      </c>
      <c r="GF14" s="16">
        <v>4</v>
      </c>
      <c r="GG14" s="16">
        <v>4</v>
      </c>
      <c r="GM14" s="58"/>
      <c r="GN14" s="53">
        <v>3187</v>
      </c>
      <c r="GO14" s="23">
        <v>21.5</v>
      </c>
      <c r="GP14">
        <v>1.8</v>
      </c>
      <c r="GQ14">
        <v>0.71</v>
      </c>
      <c r="GR14">
        <v>31.5</v>
      </c>
      <c r="GS14" s="94">
        <f>GR14*H14</f>
        <v>2964.1499999999996</v>
      </c>
      <c r="GY14" s="94">
        <f>GX14*N14</f>
        <v>0</v>
      </c>
    </row>
    <row r="15" spans="1:207" x14ac:dyDescent="0.35">
      <c r="A15">
        <v>14</v>
      </c>
      <c r="B15" t="s">
        <v>155</v>
      </c>
      <c r="C15" t="s">
        <v>239</v>
      </c>
      <c r="D15" t="s">
        <v>236</v>
      </c>
      <c r="E15" t="s">
        <v>43</v>
      </c>
      <c r="F15">
        <v>75</v>
      </c>
      <c r="G15">
        <v>1.82</v>
      </c>
      <c r="H15" s="23">
        <v>82.2</v>
      </c>
      <c r="I15" s="23">
        <f t="shared" si="25"/>
        <v>24.815843497162177</v>
      </c>
      <c r="J15" s="23">
        <v>4.9000000000000004</v>
      </c>
      <c r="K15" s="98">
        <v>3.5</v>
      </c>
      <c r="L15" s="23">
        <v>27.8</v>
      </c>
      <c r="M15" s="7">
        <f t="shared" si="0"/>
        <v>0.70863309352517978</v>
      </c>
      <c r="N15" s="7">
        <f t="shared" si="1"/>
        <v>0.5</v>
      </c>
      <c r="O15" s="7">
        <f t="shared" si="2"/>
        <v>0.70558375634517767</v>
      </c>
      <c r="P15" s="7">
        <f t="shared" si="39"/>
        <v>0.83248730964466999</v>
      </c>
      <c r="Q15" s="1">
        <v>19.7</v>
      </c>
      <c r="R15" s="71">
        <f t="shared" si="26"/>
        <v>21.67</v>
      </c>
      <c r="S15" s="4">
        <f t="shared" si="3"/>
        <v>5.6285714285714281</v>
      </c>
      <c r="T15" s="4">
        <f t="shared" si="4"/>
        <v>5.6285714285714281</v>
      </c>
      <c r="U15" s="62">
        <v>0.99</v>
      </c>
      <c r="V15" s="1">
        <v>90</v>
      </c>
      <c r="W15" s="1">
        <v>540</v>
      </c>
      <c r="X15" s="1">
        <v>13.9</v>
      </c>
      <c r="Y15" s="1">
        <v>20</v>
      </c>
      <c r="Z15" s="1">
        <v>95</v>
      </c>
      <c r="AA15" s="21">
        <v>16.399999999999999</v>
      </c>
      <c r="AB15" s="21" t="s">
        <v>237</v>
      </c>
      <c r="AC15" s="21">
        <v>390</v>
      </c>
      <c r="AD15" s="1">
        <v>28.35</v>
      </c>
      <c r="AE15" s="1" t="s">
        <v>236</v>
      </c>
      <c r="AF15" s="1">
        <v>75</v>
      </c>
      <c r="AG15" s="1">
        <v>95</v>
      </c>
      <c r="AH15" s="1">
        <v>143</v>
      </c>
      <c r="AI15" s="1">
        <v>152</v>
      </c>
      <c r="AJ15" s="34">
        <f t="shared" si="27"/>
        <v>159.6</v>
      </c>
      <c r="AK15" s="16">
        <v>3.5</v>
      </c>
      <c r="AL15" s="16">
        <v>21.5</v>
      </c>
      <c r="AM15" s="17">
        <f t="shared" si="5"/>
        <v>1.0913705583756346</v>
      </c>
      <c r="AN15" s="33">
        <f t="shared" si="28"/>
        <v>0.99215505306875862</v>
      </c>
      <c r="AO15" s="18">
        <f t="shared" si="6"/>
        <v>6.1428571428571432</v>
      </c>
      <c r="AP15" s="18">
        <f t="shared" si="7"/>
        <v>6.1428571428571432</v>
      </c>
      <c r="AQ15" s="19">
        <v>0.7</v>
      </c>
      <c r="AR15" s="16">
        <v>17.5</v>
      </c>
      <c r="AS15" s="16">
        <v>18.100000000000001</v>
      </c>
      <c r="AT15" s="18">
        <f t="shared" si="8"/>
        <v>5</v>
      </c>
      <c r="AU15" s="18">
        <f t="shared" si="29"/>
        <v>5.1714285714285717</v>
      </c>
      <c r="AV15" s="18">
        <f t="shared" si="30"/>
        <v>5.0857142857142854</v>
      </c>
      <c r="AW15" s="17">
        <f t="shared" si="9"/>
        <v>0.91878172588832496</v>
      </c>
      <c r="AX15" s="17">
        <f t="shared" si="10"/>
        <v>0.90355329949238583</v>
      </c>
      <c r="AY15" s="33">
        <f t="shared" si="31"/>
        <v>0.82141209044762342</v>
      </c>
      <c r="AZ15" s="16">
        <v>15.8</v>
      </c>
      <c r="BA15" s="17">
        <f t="shared" si="32"/>
        <v>0.7592592592592593</v>
      </c>
      <c r="BB15" s="17">
        <f t="shared" si="11"/>
        <v>0.80203045685279195</v>
      </c>
      <c r="BC15" s="33">
        <f t="shared" si="33"/>
        <v>0.7291185971389017</v>
      </c>
      <c r="BD15" s="18">
        <f t="shared" si="12"/>
        <v>4.5142857142857142</v>
      </c>
      <c r="BE15" s="18">
        <f t="shared" si="34"/>
        <v>4.5142857142857142</v>
      </c>
      <c r="BF15" s="16">
        <v>0.83</v>
      </c>
      <c r="BG15" s="16">
        <f>AVERAGE(15.7,13.7)</f>
        <v>14.7</v>
      </c>
      <c r="BH15" s="18">
        <v>19</v>
      </c>
      <c r="BI15" s="16">
        <v>13.7</v>
      </c>
      <c r="BK15" s="16">
        <v>13.4</v>
      </c>
      <c r="BL15" s="16">
        <v>16.899999999999999</v>
      </c>
      <c r="BM15" s="16">
        <v>15.7</v>
      </c>
      <c r="BN15" s="16">
        <v>16.899999999999999</v>
      </c>
      <c r="BP15" s="18">
        <f t="shared" si="42"/>
        <v>16.639999999999997</v>
      </c>
      <c r="BQ15" s="18">
        <f>AVERAGE(BK15,BI15,BO15,BJ15)</f>
        <v>13.55</v>
      </c>
      <c r="BR15" s="18">
        <f>AVERAGE(17,14.5)</f>
        <v>15.75</v>
      </c>
      <c r="BS15" s="16">
        <v>10.7</v>
      </c>
      <c r="BT15" s="16">
        <v>72</v>
      </c>
      <c r="BU15" s="16">
        <v>147</v>
      </c>
      <c r="BV15" s="17">
        <f t="shared" si="13"/>
        <v>0.96710526315789469</v>
      </c>
      <c r="BW15" s="16" t="s">
        <v>38</v>
      </c>
      <c r="BX15" s="16">
        <v>117</v>
      </c>
      <c r="BY15" s="16">
        <v>130</v>
      </c>
      <c r="BZ15" s="17">
        <f t="shared" si="35"/>
        <v>0.85526315789473684</v>
      </c>
      <c r="CA15" s="17">
        <f t="shared" si="36"/>
        <v>0.8125</v>
      </c>
      <c r="CB15" s="16">
        <v>120</v>
      </c>
      <c r="CC15" s="17">
        <f t="shared" si="37"/>
        <v>0.78947368421052633</v>
      </c>
      <c r="CD15" s="16">
        <f>AVERAGE(127,93)</f>
        <v>110</v>
      </c>
      <c r="CE15" s="16">
        <v>131</v>
      </c>
      <c r="CF15" s="16">
        <v>131</v>
      </c>
      <c r="CH15" s="16">
        <v>107</v>
      </c>
      <c r="CJ15" s="16">
        <v>90</v>
      </c>
      <c r="CK15" s="16">
        <v>131</v>
      </c>
      <c r="CL15" s="16">
        <v>128</v>
      </c>
      <c r="CM15" s="20">
        <f t="shared" si="43"/>
        <v>126.2</v>
      </c>
      <c r="CN15" s="20">
        <f>AVERAGE(CG15,CH15:CJ15,CI15)</f>
        <v>98.5</v>
      </c>
      <c r="CO15" s="16">
        <f xml:space="preserve"> AVERAGE(137,121)</f>
        <v>129</v>
      </c>
      <c r="CP15" s="17">
        <f t="shared" si="14"/>
        <v>0.83026315789473681</v>
      </c>
      <c r="CQ15" s="17">
        <f t="shared" si="15"/>
        <v>0.64802631578947367</v>
      </c>
      <c r="CR15" s="17">
        <f t="shared" si="16"/>
        <v>0.84868421052631582</v>
      </c>
      <c r="CS15" s="16">
        <v>88</v>
      </c>
      <c r="CT15" s="56">
        <f t="shared" si="38"/>
        <v>4.2</v>
      </c>
      <c r="CU15" s="57">
        <f t="shared" si="17"/>
        <v>5.4285714285714288</v>
      </c>
      <c r="CV15" s="57">
        <f t="shared" si="18"/>
        <v>3.9142857142857141</v>
      </c>
      <c r="CW15" s="57"/>
      <c r="CX15" s="57">
        <f t="shared" si="19"/>
        <v>3.8285714285714287</v>
      </c>
      <c r="CY15" s="57">
        <f t="shared" si="41"/>
        <v>4.8285714285714283</v>
      </c>
      <c r="CZ15" s="57">
        <f t="shared" si="20"/>
        <v>4.4857142857142858</v>
      </c>
      <c r="DA15" s="57">
        <f>BN15/K15</f>
        <v>4.8285714285714283</v>
      </c>
      <c r="DB15" s="57"/>
      <c r="DC15" s="57">
        <f t="shared" si="21"/>
        <v>4.7542857142857136</v>
      </c>
      <c r="DD15" s="57">
        <f t="shared" si="22"/>
        <v>3.8714285714285714</v>
      </c>
      <c r="DE15" s="57">
        <f t="shared" si="23"/>
        <v>4.5</v>
      </c>
      <c r="DF15" s="57">
        <f t="shared" si="24"/>
        <v>3.0571428571428569</v>
      </c>
      <c r="GA15" s="16">
        <v>11</v>
      </c>
      <c r="GB15" s="16">
        <v>14</v>
      </c>
      <c r="GC15" s="16">
        <f>AVERAGE(11,11,13,11,13,11,14)</f>
        <v>12</v>
      </c>
      <c r="GD15" s="16">
        <v>5</v>
      </c>
      <c r="GE15" s="16">
        <v>-1</v>
      </c>
      <c r="GF15" s="16">
        <v>4</v>
      </c>
      <c r="GG15" s="20">
        <f>AVERAGE(-1,4,3,3,4,4,-1)</f>
        <v>2.2857142857142856</v>
      </c>
      <c r="GM15" s="58"/>
      <c r="GN15" s="53">
        <v>3394</v>
      </c>
      <c r="GO15" s="23">
        <v>17.600000000000001</v>
      </c>
      <c r="GP15">
        <v>5.7</v>
      </c>
      <c r="GQ15">
        <v>0.85</v>
      </c>
      <c r="GR15">
        <v>32.299999999999997</v>
      </c>
      <c r="GS15" s="94">
        <f>GR15*H15</f>
        <v>2655.06</v>
      </c>
      <c r="GY15" s="94">
        <f>GX15*N15</f>
        <v>0</v>
      </c>
    </row>
    <row r="16" spans="1:207" x14ac:dyDescent="0.35">
      <c r="A16">
        <v>15</v>
      </c>
      <c r="B16" t="s">
        <v>155</v>
      </c>
      <c r="C16" t="s">
        <v>247</v>
      </c>
      <c r="D16" t="s">
        <v>243</v>
      </c>
      <c r="E16" t="s">
        <v>43</v>
      </c>
      <c r="F16">
        <v>66</v>
      </c>
      <c r="G16">
        <v>1.8</v>
      </c>
      <c r="H16" s="23">
        <v>111</v>
      </c>
      <c r="I16" s="23">
        <f t="shared" si="25"/>
        <v>34.25925925925926</v>
      </c>
      <c r="J16" s="23">
        <v>4.82</v>
      </c>
      <c r="K16" s="98">
        <v>3.5</v>
      </c>
      <c r="L16" s="23">
        <v>21.9</v>
      </c>
      <c r="M16" s="7">
        <f t="shared" si="0"/>
        <v>0.80365296803652975</v>
      </c>
      <c r="N16" s="7">
        <f t="shared" si="1"/>
        <v>0.40182648401826487</v>
      </c>
      <c r="O16" s="7">
        <f t="shared" si="2"/>
        <v>0.5</v>
      </c>
      <c r="P16" s="7">
        <f t="shared" si="39"/>
        <v>0.88068181818181812</v>
      </c>
      <c r="Q16" s="1">
        <v>17.600000000000001</v>
      </c>
      <c r="R16" s="71">
        <f t="shared" si="26"/>
        <v>19.360000000000003</v>
      </c>
      <c r="S16" s="4">
        <f t="shared" si="3"/>
        <v>5.0285714285714294</v>
      </c>
      <c r="T16" s="4">
        <f t="shared" si="4"/>
        <v>5.0285714285714294</v>
      </c>
      <c r="U16" s="65">
        <v>1.02</v>
      </c>
      <c r="V16" s="1">
        <v>100</v>
      </c>
      <c r="W16" s="1">
        <v>630</v>
      </c>
      <c r="X16" s="1">
        <v>8.8000000000000007</v>
      </c>
      <c r="Y16" s="1">
        <v>20</v>
      </c>
      <c r="Z16" s="1">
        <v>90</v>
      </c>
      <c r="AA16" s="21">
        <v>15.5</v>
      </c>
      <c r="AB16" s="21">
        <v>80</v>
      </c>
      <c r="AC16" s="21">
        <v>510</v>
      </c>
      <c r="AD16" s="1">
        <v>30.26</v>
      </c>
      <c r="AE16" s="1" t="s">
        <v>97</v>
      </c>
      <c r="AF16" s="1">
        <v>68</v>
      </c>
      <c r="AG16" s="1">
        <v>72</v>
      </c>
      <c r="AH16" s="1">
        <v>99</v>
      </c>
      <c r="AI16" s="1">
        <v>110</v>
      </c>
      <c r="AJ16" s="34">
        <f t="shared" si="27"/>
        <v>115.5</v>
      </c>
      <c r="AK16" s="90">
        <v>4.0999999999999996</v>
      </c>
      <c r="AL16" s="90">
        <v>18.3</v>
      </c>
      <c r="AM16" s="91">
        <f t="shared" si="5"/>
        <v>1.0397727272727273</v>
      </c>
      <c r="AN16" s="91">
        <f t="shared" si="28"/>
        <v>0.9452479338842974</v>
      </c>
      <c r="AO16" s="92">
        <f t="shared" si="6"/>
        <v>5.2285714285714286</v>
      </c>
      <c r="AP16" s="92">
        <f t="shared" si="7"/>
        <v>4.4634146341463419</v>
      </c>
      <c r="AQ16" s="90">
        <v>0.97</v>
      </c>
      <c r="AR16" s="90">
        <v>9.1</v>
      </c>
      <c r="AS16" s="90">
        <v>11.6</v>
      </c>
      <c r="AT16" s="92">
        <f t="shared" si="8"/>
        <v>2.2195121951219514</v>
      </c>
      <c r="AU16" s="92">
        <f t="shared" si="29"/>
        <v>3.3142857142857141</v>
      </c>
      <c r="AV16" s="92">
        <f t="shared" si="30"/>
        <v>2.7668989547038327</v>
      </c>
      <c r="AW16" s="91">
        <f t="shared" si="9"/>
        <v>0.65909090909090906</v>
      </c>
      <c r="AX16" s="91">
        <f t="shared" si="10"/>
        <v>0.58806818181818177</v>
      </c>
      <c r="AY16" s="91">
        <f t="shared" si="31"/>
        <v>0.53460743801652888</v>
      </c>
      <c r="AZ16" s="90">
        <v>13.9</v>
      </c>
      <c r="BA16" s="91">
        <f t="shared" si="32"/>
        <v>0.73758865248226946</v>
      </c>
      <c r="BB16" s="91">
        <f t="shared" si="11"/>
        <v>0.78977272727272718</v>
      </c>
      <c r="BC16" s="91">
        <f t="shared" si="33"/>
        <v>0.7179752066115701</v>
      </c>
      <c r="BD16" s="92">
        <f t="shared" si="12"/>
        <v>3.9714285714285715</v>
      </c>
      <c r="BE16" s="92">
        <f t="shared" si="34"/>
        <v>3.9714285714285715</v>
      </c>
      <c r="BF16" s="90">
        <v>0.9</v>
      </c>
      <c r="BG16" s="90">
        <f>AVERAGE(14.1,15.3)</f>
        <v>14.7</v>
      </c>
      <c r="BH16" s="90">
        <v>17.600000000000001</v>
      </c>
      <c r="BI16" s="90">
        <v>15.4</v>
      </c>
      <c r="BJ16" s="90"/>
      <c r="BK16" s="90">
        <v>12.6</v>
      </c>
      <c r="BL16" s="90"/>
      <c r="BM16" s="90"/>
      <c r="BN16" s="90"/>
      <c r="BO16" s="90"/>
      <c r="BP16" s="18">
        <f t="shared" si="42"/>
        <v>16.149999999999999</v>
      </c>
      <c r="BQ16" s="92">
        <f>AVERAGE(BK16,BI16,BO16,BJ16)</f>
        <v>14</v>
      </c>
      <c r="BR16" s="92">
        <f>AVERAGE(16.2,11.9,12)</f>
        <v>13.366666666666667</v>
      </c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57">
        <f t="shared" si="38"/>
        <v>4.2</v>
      </c>
      <c r="CU16" s="57">
        <f t="shared" si="17"/>
        <v>5.0285714285714294</v>
      </c>
      <c r="CV16" s="57"/>
      <c r="CW16" s="57"/>
      <c r="CX16" s="57">
        <f t="shared" si="19"/>
        <v>3.6</v>
      </c>
      <c r="DD16" s="57">
        <f t="shared" si="22"/>
        <v>4</v>
      </c>
      <c r="GA16" s="16">
        <v>9</v>
      </c>
      <c r="GB16" s="16">
        <v>14</v>
      </c>
      <c r="GC16" s="16">
        <v>13</v>
      </c>
      <c r="GD16" s="16">
        <v>5</v>
      </c>
      <c r="GE16" s="16">
        <v>-2</v>
      </c>
      <c r="GF16" s="16">
        <v>5</v>
      </c>
      <c r="GG16" s="20">
        <f>AVERAGE(5,4,4,0,-2,4)</f>
        <v>2.5</v>
      </c>
      <c r="GM16" s="58"/>
      <c r="GN16" s="53">
        <v>5612</v>
      </c>
      <c r="GO16" s="23">
        <v>21.6</v>
      </c>
      <c r="GP16">
        <v>1.3</v>
      </c>
      <c r="GQ16" s="23">
        <v>1</v>
      </c>
      <c r="GR16">
        <v>32.4</v>
      </c>
      <c r="GS16" s="94">
        <f>GR16*H16</f>
        <v>3596.3999999999996</v>
      </c>
    </row>
    <row r="17" spans="1:201" x14ac:dyDescent="0.35">
      <c r="A17">
        <v>16</v>
      </c>
      <c r="H17" s="23"/>
      <c r="I17" s="23"/>
      <c r="J17" s="23"/>
      <c r="K17" s="99"/>
      <c r="L17" s="23"/>
      <c r="M17" s="7"/>
      <c r="N17" s="7"/>
      <c r="O17" s="7"/>
      <c r="P17" s="7"/>
      <c r="R17" s="71"/>
      <c r="S17" s="4"/>
      <c r="T17" s="4"/>
      <c r="U17" s="62"/>
      <c r="AA17" s="21"/>
      <c r="AB17" s="21"/>
      <c r="AC17" s="21"/>
      <c r="AT17" s="18"/>
      <c r="AU17" s="18"/>
      <c r="AV17" s="18"/>
      <c r="AW17" s="17"/>
      <c r="AX17" s="17"/>
      <c r="AY17" s="33"/>
      <c r="BP17" s="18"/>
      <c r="BQ17" s="18"/>
      <c r="BR17" s="18"/>
      <c r="GM17" s="58"/>
      <c r="GN17" s="53"/>
    </row>
    <row r="18" spans="1:201" x14ac:dyDescent="0.35">
      <c r="A18">
        <v>17</v>
      </c>
      <c r="H18" s="23"/>
      <c r="I18" s="23"/>
      <c r="J18" s="23"/>
      <c r="K18" s="99"/>
      <c r="L18" s="23"/>
      <c r="M18" s="7"/>
      <c r="N18" s="7"/>
      <c r="O18" s="7"/>
      <c r="P18" s="7"/>
      <c r="R18" s="71"/>
      <c r="S18" s="4"/>
      <c r="T18" s="4"/>
      <c r="U18" s="62"/>
      <c r="AA18" s="21"/>
      <c r="AB18" s="21"/>
      <c r="AC18" s="21"/>
      <c r="AT18" s="18"/>
      <c r="AU18" s="18"/>
      <c r="AV18" s="18"/>
      <c r="AW18" s="17"/>
      <c r="AX18" s="17"/>
      <c r="AY18" s="33"/>
      <c r="BP18" s="18"/>
      <c r="BQ18" s="18"/>
      <c r="BR18" s="18"/>
      <c r="GM18" s="58"/>
      <c r="GN18" s="53"/>
    </row>
    <row r="19" spans="1:201" x14ac:dyDescent="0.35">
      <c r="A19">
        <v>18</v>
      </c>
      <c r="H19" s="23"/>
      <c r="I19" s="23"/>
      <c r="J19" s="23"/>
      <c r="K19" s="99"/>
      <c r="L19" s="23"/>
      <c r="M19" s="7"/>
      <c r="N19" s="7"/>
      <c r="O19" s="7"/>
      <c r="P19" s="7"/>
      <c r="R19" s="71"/>
      <c r="S19" s="4"/>
      <c r="T19" s="4"/>
      <c r="U19" s="62"/>
      <c r="AA19" s="21"/>
      <c r="AB19" s="21"/>
      <c r="AC19" s="21"/>
      <c r="AT19" s="18"/>
      <c r="AU19" s="18"/>
      <c r="AV19" s="18"/>
      <c r="AW19" s="17"/>
      <c r="AX19" s="17"/>
      <c r="AY19" s="33"/>
      <c r="BP19" s="18"/>
      <c r="BQ19" s="18"/>
      <c r="BR19" s="18"/>
      <c r="GM19" s="58"/>
      <c r="GN19" s="53"/>
    </row>
    <row r="20" spans="1:201" x14ac:dyDescent="0.35">
      <c r="A20">
        <v>19</v>
      </c>
      <c r="H20" s="23"/>
      <c r="I20" s="23"/>
      <c r="J20" s="23"/>
      <c r="K20" s="99"/>
      <c r="L20" s="23"/>
      <c r="M20" s="7"/>
      <c r="N20" s="7"/>
      <c r="O20" s="7"/>
      <c r="P20" s="7"/>
      <c r="R20" s="71"/>
      <c r="S20" s="4"/>
      <c r="T20" s="4"/>
      <c r="U20" s="62"/>
      <c r="AA20" s="21"/>
      <c r="AB20" s="21"/>
      <c r="AC20" s="21"/>
      <c r="AT20" s="18"/>
      <c r="AU20" s="18"/>
      <c r="AV20" s="18"/>
      <c r="AW20" s="17"/>
      <c r="AX20" s="17"/>
      <c r="AY20" s="33"/>
      <c r="BP20" s="18"/>
      <c r="BQ20" s="18"/>
      <c r="BR20" s="18"/>
      <c r="GM20" s="58"/>
      <c r="GN20" s="53"/>
    </row>
    <row r="21" spans="1:201" x14ac:dyDescent="0.35">
      <c r="A21">
        <v>20</v>
      </c>
      <c r="H21" s="23"/>
      <c r="I21" s="23"/>
      <c r="J21" s="23"/>
      <c r="K21" s="100"/>
      <c r="L21" s="23"/>
      <c r="M21" s="6"/>
      <c r="N21" s="6"/>
      <c r="O21" s="6"/>
      <c r="P21" s="6"/>
      <c r="R21" s="71"/>
      <c r="S21" s="4"/>
      <c r="BP21" s="18"/>
      <c r="BQ21" s="18"/>
      <c r="BR21" s="18"/>
      <c r="GM21" s="58"/>
      <c r="GN21" s="53"/>
    </row>
    <row r="22" spans="1:201" x14ac:dyDescent="0.35">
      <c r="A22">
        <v>21</v>
      </c>
      <c r="H22" s="23"/>
      <c r="I22" s="23"/>
      <c r="J22" s="23"/>
      <c r="K22" s="100"/>
      <c r="L22" s="23"/>
      <c r="M22" s="6"/>
      <c r="N22" s="6"/>
      <c r="O22" s="6"/>
      <c r="P22" s="6"/>
      <c r="R22" s="71"/>
      <c r="S22" s="4"/>
      <c r="BP22" s="18"/>
      <c r="BQ22" s="18"/>
      <c r="BR22" s="18"/>
      <c r="GM22" s="58"/>
      <c r="GN22" s="53"/>
    </row>
    <row r="23" spans="1:201" s="39" customFormat="1" x14ac:dyDescent="0.35">
      <c r="A23" s="35" t="s">
        <v>123</v>
      </c>
      <c r="B23" s="35"/>
      <c r="C23" s="35"/>
      <c r="D23" s="35"/>
      <c r="E23" s="35"/>
      <c r="F23" s="38">
        <f t="shared" ref="F23:M23" si="44">AVERAGE(F2:F22)</f>
        <v>67.86666666666666</v>
      </c>
      <c r="G23" s="96">
        <f t="shared" si="44"/>
        <v>1.7533333333333334</v>
      </c>
      <c r="H23" s="36">
        <f t="shared" si="44"/>
        <v>94.74</v>
      </c>
      <c r="I23" s="36">
        <f t="shared" si="44"/>
        <v>30.816076387581266</v>
      </c>
      <c r="J23" s="36">
        <f t="shared" si="44"/>
        <v>3.7266666666666661</v>
      </c>
      <c r="K23" s="101">
        <f t="shared" si="44"/>
        <v>3.5</v>
      </c>
      <c r="L23" s="36">
        <f t="shared" si="44"/>
        <v>21.841999999999995</v>
      </c>
      <c r="M23" s="37">
        <f t="shared" si="44"/>
        <v>0.67079825531624404</v>
      </c>
      <c r="N23" s="37">
        <f t="shared" ref="N23:AD23" si="45">AVERAGE(N2:N22)</f>
        <v>0.44520520542428976</v>
      </c>
      <c r="O23" s="37">
        <f t="shared" si="45"/>
        <v>0.66716717957774485</v>
      </c>
      <c r="P23" s="37">
        <f t="shared" si="45"/>
        <v>0.84932963890939928</v>
      </c>
      <c r="Q23" s="72">
        <f t="shared" si="45"/>
        <v>14.016666666666664</v>
      </c>
      <c r="R23" s="73">
        <f t="shared" si="45"/>
        <v>15.418333333333335</v>
      </c>
      <c r="S23" s="72">
        <f t="shared" si="45"/>
        <v>4.0047619047619047</v>
      </c>
      <c r="T23" s="72">
        <f t="shared" si="45"/>
        <v>4.0047619047619047</v>
      </c>
      <c r="U23" s="74">
        <f t="shared" si="45"/>
        <v>1.1526666666666665</v>
      </c>
      <c r="V23" s="75">
        <f t="shared" si="45"/>
        <v>85.333333333333329</v>
      </c>
      <c r="W23" s="75">
        <f t="shared" si="45"/>
        <v>517.33333333333337</v>
      </c>
      <c r="X23" s="72">
        <f t="shared" si="45"/>
        <v>9.3338790593505028</v>
      </c>
      <c r="Y23" s="75">
        <f t="shared" si="45"/>
        <v>29.333333333333332</v>
      </c>
      <c r="Z23" s="75">
        <f t="shared" si="45"/>
        <v>174.66666666666666</v>
      </c>
      <c r="AA23" s="72">
        <f t="shared" si="45"/>
        <v>12.772499999999999</v>
      </c>
      <c r="AB23" s="75">
        <f t="shared" si="45"/>
        <v>65.454545454545453</v>
      </c>
      <c r="AC23" s="75">
        <f t="shared" si="45"/>
        <v>373.75</v>
      </c>
      <c r="AD23" s="72">
        <f t="shared" si="45"/>
        <v>30.757999999999999</v>
      </c>
      <c r="AE23" s="75"/>
      <c r="AF23" s="75">
        <f>AVERAGE(AF2:AF22)</f>
        <v>70.333333333333329</v>
      </c>
      <c r="AG23" s="75">
        <f>AVERAGE(AG2:AG22)</f>
        <v>88.533333333333331</v>
      </c>
      <c r="AH23" s="75">
        <f t="shared" ref="AH23:BV23" si="46">AVERAGE(AH2:AH22)</f>
        <v>106.41666666666667</v>
      </c>
      <c r="AI23" s="75">
        <f t="shared" si="46"/>
        <v>114.93333333333334</v>
      </c>
      <c r="AJ23" s="41">
        <f t="shared" si="46"/>
        <v>120.67999999999999</v>
      </c>
      <c r="AK23" s="77">
        <f t="shared" si="46"/>
        <v>3.1333333333333333</v>
      </c>
      <c r="AL23" s="77">
        <f t="shared" si="46"/>
        <v>15.873333333333335</v>
      </c>
      <c r="AM23" s="79">
        <f t="shared" si="46"/>
        <v>1.1536374115797239</v>
      </c>
      <c r="AN23" s="80">
        <f t="shared" si="46"/>
        <v>1.0487612832542943</v>
      </c>
      <c r="AO23" s="77">
        <f t="shared" si="46"/>
        <v>4.5352380952380962</v>
      </c>
      <c r="AP23" s="77">
        <f t="shared" si="46"/>
        <v>5.1556720180020568</v>
      </c>
      <c r="AQ23" s="81">
        <f t="shared" si="46"/>
        <v>0.94600000000000006</v>
      </c>
      <c r="AR23" s="77">
        <f t="shared" si="46"/>
        <v>11.787333333333333</v>
      </c>
      <c r="AS23" s="77">
        <f t="shared" si="46"/>
        <v>12.703999999999999</v>
      </c>
      <c r="AT23" s="77">
        <f t="shared" si="46"/>
        <v>3.8353261609692511</v>
      </c>
      <c r="AU23" s="77">
        <f t="shared" si="46"/>
        <v>3.6297142857142863</v>
      </c>
      <c r="AV23" s="77">
        <f t="shared" si="46"/>
        <v>3.7325202233417683</v>
      </c>
      <c r="AW23" s="79">
        <f t="shared" si="46"/>
        <v>0.93417715929895762</v>
      </c>
      <c r="AX23" s="79">
        <f t="shared" si="46"/>
        <v>0.89991210649573061</v>
      </c>
      <c r="AY23" s="80">
        <f t="shared" si="46"/>
        <v>0.81810191499611884</v>
      </c>
      <c r="AZ23" s="77">
        <f t="shared" si="46"/>
        <v>11.97</v>
      </c>
      <c r="BA23" s="79">
        <f t="shared" si="46"/>
        <v>0.83829584251143818</v>
      </c>
      <c r="BB23" s="79">
        <f t="shared" si="46"/>
        <v>0.87335585273806626</v>
      </c>
      <c r="BC23" s="80">
        <f t="shared" si="46"/>
        <v>0.79395986612551483</v>
      </c>
      <c r="BD23" s="77">
        <f t="shared" si="46"/>
        <v>3.42</v>
      </c>
      <c r="BE23" s="77">
        <f t="shared" si="46"/>
        <v>3.42</v>
      </c>
      <c r="BF23" s="81">
        <f t="shared" si="46"/>
        <v>1.008</v>
      </c>
      <c r="BG23" s="77">
        <f t="shared" si="46"/>
        <v>12.452857142857141</v>
      </c>
      <c r="BH23" s="77">
        <f t="shared" si="46"/>
        <v>13.289666666666665</v>
      </c>
      <c r="BI23" s="77">
        <f t="shared" si="46"/>
        <v>13.188636363636363</v>
      </c>
      <c r="BJ23" s="77">
        <f t="shared" si="46"/>
        <v>7.8100000000000005</v>
      </c>
      <c r="BK23" s="77">
        <f t="shared" si="46"/>
        <v>11.741666666666667</v>
      </c>
      <c r="BL23" s="77">
        <f t="shared" si="46"/>
        <v>11.656153846153845</v>
      </c>
      <c r="BM23" s="77">
        <f t="shared" si="46"/>
        <v>11.605357142857143</v>
      </c>
      <c r="BN23" s="77">
        <f t="shared" si="46"/>
        <v>14.654999999999999</v>
      </c>
      <c r="BO23" s="77">
        <f t="shared" si="46"/>
        <v>10.8</v>
      </c>
      <c r="BP23" s="77">
        <f t="shared" si="46"/>
        <v>12.335405555555557</v>
      </c>
      <c r="BQ23" s="77">
        <f t="shared" si="46"/>
        <v>12.124000000000002</v>
      </c>
      <c r="BR23" s="77">
        <f t="shared" si="46"/>
        <v>11.544000000000002</v>
      </c>
      <c r="BS23" s="77">
        <f t="shared" si="46"/>
        <v>7.9964285714285719</v>
      </c>
      <c r="BT23" s="78">
        <f t="shared" si="46"/>
        <v>67.857142857142861</v>
      </c>
      <c r="BU23" s="78">
        <f t="shared" si="46"/>
        <v>120.78571428571429</v>
      </c>
      <c r="BV23" s="79">
        <f t="shared" si="46"/>
        <v>1.0673530034024432</v>
      </c>
      <c r="BW23" s="78"/>
      <c r="BX23" s="78">
        <f t="shared" ref="BX23:CO23" si="47">AVERAGE(BX2:BX22)</f>
        <v>93</v>
      </c>
      <c r="BY23" s="78">
        <f t="shared" si="47"/>
        <v>99</v>
      </c>
      <c r="BZ23" s="79">
        <f t="shared" si="47"/>
        <v>0.85336583794259313</v>
      </c>
      <c r="CA23" s="79">
        <f t="shared" si="47"/>
        <v>0.82667600265501939</v>
      </c>
      <c r="CB23" s="78">
        <f t="shared" si="47"/>
        <v>103.35714285714286</v>
      </c>
      <c r="CC23" s="79">
        <f t="shared" si="47"/>
        <v>0.9101607151675678</v>
      </c>
      <c r="CD23" s="78">
        <f t="shared" si="47"/>
        <v>100.79166666666667</v>
      </c>
      <c r="CE23" s="78">
        <f t="shared" si="47"/>
        <v>113.13636363636364</v>
      </c>
      <c r="CF23" s="78">
        <f t="shared" si="47"/>
        <v>119.25</v>
      </c>
      <c r="CG23" s="78">
        <f t="shared" si="47"/>
        <v>81</v>
      </c>
      <c r="CH23" s="78">
        <f t="shared" si="47"/>
        <v>109.5</v>
      </c>
      <c r="CI23" s="78">
        <f t="shared" si="47"/>
        <v>83</v>
      </c>
      <c r="CJ23" s="78">
        <f t="shared" si="47"/>
        <v>102.78571428571429</v>
      </c>
      <c r="CK23" s="78">
        <f t="shared" si="47"/>
        <v>103</v>
      </c>
      <c r="CL23" s="78">
        <f t="shared" si="47"/>
        <v>104.65384615384616</v>
      </c>
      <c r="CM23" s="78">
        <f t="shared" si="47"/>
        <v>104.33630952380952</v>
      </c>
      <c r="CN23" s="78">
        <f t="shared" si="47"/>
        <v>101.95833333333334</v>
      </c>
      <c r="CO23" s="78">
        <f t="shared" si="47"/>
        <v>103.94880952380954</v>
      </c>
      <c r="CP23" s="79">
        <f>AVERAGE(CP2:CP22)</f>
        <v>0.91719092177573303</v>
      </c>
      <c r="CQ23" s="79">
        <f t="shared" ref="CQ23:DV23" si="48">AVERAGE(CQ2:CQ22)</f>
        <v>0.9039834683258875</v>
      </c>
      <c r="CR23" s="79">
        <f t="shared" si="48"/>
        <v>0.91357589353755786</v>
      </c>
      <c r="CS23" s="78">
        <f t="shared" si="48"/>
        <v>96.142857142857139</v>
      </c>
      <c r="CT23" s="82">
        <f t="shared" si="48"/>
        <v>3.5579591836734701</v>
      </c>
      <c r="CU23" s="82">
        <f t="shared" si="48"/>
        <v>3.7970476190476194</v>
      </c>
      <c r="CV23" s="82">
        <f t="shared" si="48"/>
        <v>3.3681818181818186</v>
      </c>
      <c r="CW23" s="82">
        <f t="shared" si="48"/>
        <v>2.2314285714285713</v>
      </c>
      <c r="CX23" s="82">
        <f t="shared" si="48"/>
        <v>3.3547619047619053</v>
      </c>
      <c r="CY23" s="82">
        <f t="shared" si="48"/>
        <v>3.3303296703296708</v>
      </c>
      <c r="CZ23" s="82">
        <f t="shared" si="48"/>
        <v>3.3158163265306126</v>
      </c>
      <c r="DA23" s="82">
        <f t="shared" si="48"/>
        <v>4.1871428571428577</v>
      </c>
      <c r="DB23" s="82">
        <f t="shared" si="48"/>
        <v>3.7241379310344831</v>
      </c>
      <c r="DC23" s="82">
        <f t="shared" si="48"/>
        <v>3.4465527210884348</v>
      </c>
      <c r="DD23" s="82">
        <f t="shared" si="48"/>
        <v>3.4640000000000004</v>
      </c>
      <c r="DE23" s="82">
        <f t="shared" si="48"/>
        <v>3.2610884353741496</v>
      </c>
      <c r="DF23" s="82">
        <f t="shared" si="48"/>
        <v>2.2846938775510202</v>
      </c>
      <c r="DG23" s="83">
        <f t="shared" si="48"/>
        <v>90.809999999999988</v>
      </c>
      <c r="DH23" s="83">
        <f t="shared" si="48"/>
        <v>0.55000000000000004</v>
      </c>
      <c r="DI23" s="83">
        <f t="shared" si="48"/>
        <v>3.3259999999999996</v>
      </c>
      <c r="DJ23" s="83">
        <f t="shared" si="48"/>
        <v>3.246</v>
      </c>
      <c r="DK23" s="83">
        <f t="shared" si="48"/>
        <v>13.530000000000001</v>
      </c>
      <c r="DL23" s="84">
        <f t="shared" si="48"/>
        <v>-0.23958746387279212</v>
      </c>
      <c r="DM23" s="84">
        <f t="shared" si="48"/>
        <v>0.64685895925185144</v>
      </c>
      <c r="DN23" s="83">
        <f t="shared" si="48"/>
        <v>3.8657142857142857</v>
      </c>
      <c r="DO23" s="83">
        <f t="shared" si="48"/>
        <v>4.2437948501972613</v>
      </c>
      <c r="DP23" s="85">
        <f t="shared" si="48"/>
        <v>1.3</v>
      </c>
      <c r="DQ23" s="86">
        <f t="shared" si="48"/>
        <v>94</v>
      </c>
      <c r="DR23" s="86">
        <f t="shared" si="48"/>
        <v>12</v>
      </c>
      <c r="DS23" s="86">
        <f t="shared" si="48"/>
        <v>553.79999999999995</v>
      </c>
      <c r="DT23" s="86">
        <f t="shared" si="48"/>
        <v>43</v>
      </c>
      <c r="DU23" s="83">
        <f t="shared" si="48"/>
        <v>9.4599999999999991</v>
      </c>
      <c r="DV23" s="83">
        <f t="shared" si="48"/>
        <v>0.47200000000000025</v>
      </c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9"/>
      <c r="GB23" s="49"/>
      <c r="GC23" s="49"/>
      <c r="GD23" s="49"/>
      <c r="GE23" s="49"/>
      <c r="GF23" s="49"/>
      <c r="GG23" s="49"/>
      <c r="GH23" s="52"/>
      <c r="GI23" s="52"/>
      <c r="GJ23" s="52"/>
      <c r="GK23" s="52"/>
      <c r="GL23" s="52"/>
      <c r="GM23" s="59"/>
      <c r="GN23" s="86">
        <f t="shared" ref="GN23:GS23" si="49">AVERAGE(GN2:GN22)</f>
        <v>4802</v>
      </c>
      <c r="GO23" s="83">
        <f t="shared" si="49"/>
        <v>19.463636363636365</v>
      </c>
      <c r="GP23" s="83">
        <f t="shared" si="49"/>
        <v>3.2727272727272729</v>
      </c>
      <c r="GQ23" s="83">
        <f t="shared" si="49"/>
        <v>1.0681818181818181</v>
      </c>
      <c r="GR23" s="83">
        <f t="shared" si="49"/>
        <v>32.136363636363633</v>
      </c>
      <c r="GS23" s="86">
        <f t="shared" si="49"/>
        <v>3050.8618181818179</v>
      </c>
    </row>
    <row r="24" spans="1:201" s="39" customFormat="1" ht="14.25" customHeight="1" x14ac:dyDescent="0.35">
      <c r="A24" s="35" t="s">
        <v>124</v>
      </c>
      <c r="B24" s="35"/>
      <c r="C24" s="35"/>
      <c r="D24" s="35"/>
      <c r="E24" s="35"/>
      <c r="F24" s="38">
        <f t="shared" ref="F24:M24" si="50">STDEV(F2:F22)</f>
        <v>9.8478907579721184</v>
      </c>
      <c r="G24" s="96">
        <f t="shared" si="50"/>
        <v>6.432802840205229E-2</v>
      </c>
      <c r="H24" s="36">
        <f t="shared" si="50"/>
        <v>14.410997784430361</v>
      </c>
      <c r="I24" s="36">
        <f t="shared" si="50"/>
        <v>4.429386422656667</v>
      </c>
      <c r="J24" s="36">
        <f t="shared" si="50"/>
        <v>0.62630055161430698</v>
      </c>
      <c r="K24" s="101">
        <f t="shared" si="50"/>
        <v>0</v>
      </c>
      <c r="L24" s="36">
        <f t="shared" si="50"/>
        <v>5.2657684285256332</v>
      </c>
      <c r="M24" s="37">
        <f t="shared" si="50"/>
        <v>0.21276504936230642</v>
      </c>
      <c r="N24" s="37">
        <f t="shared" ref="N24:AD24" si="51">STDEV(N2:N22)</f>
        <v>0.15611592588960366</v>
      </c>
      <c r="O24" s="37">
        <f t="shared" si="51"/>
        <v>9.8459690001106714E-2</v>
      </c>
      <c r="P24" s="37">
        <f t="shared" si="51"/>
        <v>7.2914594880397809E-2</v>
      </c>
      <c r="Q24" s="72">
        <f t="shared" si="51"/>
        <v>3.1879632249776053</v>
      </c>
      <c r="R24" s="73">
        <f t="shared" si="51"/>
        <v>3.5067595474753506</v>
      </c>
      <c r="S24" s="72">
        <f t="shared" si="51"/>
        <v>0.91084663570788127</v>
      </c>
      <c r="T24" s="72">
        <f t="shared" si="51"/>
        <v>0.91084663570788127</v>
      </c>
      <c r="U24" s="74">
        <f t="shared" si="51"/>
        <v>0.12446839338716204</v>
      </c>
      <c r="V24" s="75">
        <f t="shared" si="51"/>
        <v>23.258383025317574</v>
      </c>
      <c r="W24" s="75">
        <f t="shared" si="51"/>
        <v>143.7133390104197</v>
      </c>
      <c r="X24" s="72">
        <f t="shared" si="51"/>
        <v>2.5169145788435463</v>
      </c>
      <c r="Y24" s="75">
        <f t="shared" si="51"/>
        <v>16.242214252050854</v>
      </c>
      <c r="Z24" s="75">
        <f t="shared" si="51"/>
        <v>90.602480781761841</v>
      </c>
      <c r="AA24" s="72">
        <f t="shared" si="51"/>
        <v>2.3855364367179805</v>
      </c>
      <c r="AB24" s="75">
        <f t="shared" si="51"/>
        <v>19.164360862620157</v>
      </c>
      <c r="AC24" s="75">
        <f t="shared" si="51"/>
        <v>117.14647008999228</v>
      </c>
      <c r="AD24" s="72">
        <f t="shared" si="51"/>
        <v>3.0889924385977845</v>
      </c>
      <c r="AE24" s="75"/>
      <c r="AF24" s="75">
        <f>STDEV(AF2:AF22)</f>
        <v>12.567910763224752</v>
      </c>
      <c r="AG24" s="75">
        <f>STDEV(AG2:AG22)</f>
        <v>15.742874427438451</v>
      </c>
      <c r="AH24" s="75">
        <f t="shared" ref="AH24:BV24" si="52">STDEV(AH2:AH22)</f>
        <v>18.118089069080952</v>
      </c>
      <c r="AI24" s="75">
        <f t="shared" si="52"/>
        <v>26.042456178508257</v>
      </c>
      <c r="AJ24" s="41">
        <f t="shared" si="52"/>
        <v>27.344578987433749</v>
      </c>
      <c r="AK24" s="77">
        <f t="shared" si="52"/>
        <v>0.54404131495774299</v>
      </c>
      <c r="AL24" s="77">
        <f t="shared" si="52"/>
        <v>2.9384706096555555</v>
      </c>
      <c r="AM24" s="79">
        <f t="shared" si="52"/>
        <v>0.16757970667498254</v>
      </c>
      <c r="AN24" s="80">
        <f t="shared" si="52"/>
        <v>0.15234518788635029</v>
      </c>
      <c r="AO24" s="77">
        <f t="shared" si="52"/>
        <v>0.83956303133015786</v>
      </c>
      <c r="AP24" s="77">
        <f t="shared" si="52"/>
        <v>1.024738530800934</v>
      </c>
      <c r="AQ24" s="81">
        <f t="shared" si="52"/>
        <v>0.11011682108431103</v>
      </c>
      <c r="AR24" s="77">
        <f t="shared" si="52"/>
        <v>2.4203939073354741</v>
      </c>
      <c r="AS24" s="77">
        <f t="shared" si="52"/>
        <v>2.2483066643905416</v>
      </c>
      <c r="AT24" s="77">
        <f t="shared" si="52"/>
        <v>0.81536721912291454</v>
      </c>
      <c r="AU24" s="77">
        <f t="shared" si="52"/>
        <v>0.64237333268300156</v>
      </c>
      <c r="AV24" s="77">
        <f t="shared" si="52"/>
        <v>0.67304470021217677</v>
      </c>
      <c r="AW24" s="79">
        <f t="shared" si="52"/>
        <v>0.19059592456591332</v>
      </c>
      <c r="AX24" s="79">
        <f t="shared" si="52"/>
        <v>0.18708493666713422</v>
      </c>
      <c r="AY24" s="80">
        <f t="shared" si="52"/>
        <v>0.17007721515193819</v>
      </c>
      <c r="AZ24" s="77">
        <f t="shared" si="52"/>
        <v>2.3320989932431488</v>
      </c>
      <c r="BA24" s="79">
        <f t="shared" si="52"/>
        <v>0.22783394900758561</v>
      </c>
      <c r="BB24" s="79">
        <f t="shared" si="52"/>
        <v>0.16119442598369912</v>
      </c>
      <c r="BC24" s="80">
        <f t="shared" si="52"/>
        <v>0.14654038725790736</v>
      </c>
      <c r="BD24" s="77">
        <f t="shared" si="52"/>
        <v>0.66631399806947278</v>
      </c>
      <c r="BE24" s="77">
        <f t="shared" si="52"/>
        <v>0.66631399806947278</v>
      </c>
      <c r="BF24" s="81">
        <f t="shared" si="52"/>
        <v>0.10651626301046363</v>
      </c>
      <c r="BG24" s="77">
        <f t="shared" si="52"/>
        <v>2.1750700380285952</v>
      </c>
      <c r="BH24" s="77">
        <f t="shared" si="52"/>
        <v>3.1770575260466325</v>
      </c>
      <c r="BI24" s="77">
        <f t="shared" si="52"/>
        <v>2.1992840777274529</v>
      </c>
      <c r="BJ24" s="77">
        <f t="shared" si="52"/>
        <v>3.6628131265463146</v>
      </c>
      <c r="BK24" s="77">
        <f t="shared" si="52"/>
        <v>2.3500772530361727</v>
      </c>
      <c r="BL24" s="77">
        <f t="shared" si="52"/>
        <v>2.736648005807893</v>
      </c>
      <c r="BM24" s="77">
        <f t="shared" si="52"/>
        <v>2.1944759881660558</v>
      </c>
      <c r="BN24" s="77">
        <f t="shared" si="52"/>
        <v>1.9246038553427143</v>
      </c>
      <c r="BO24" s="77" t="s">
        <v>75</v>
      </c>
      <c r="BP24" s="77">
        <f t="shared" si="52"/>
        <v>2.5260161763302191</v>
      </c>
      <c r="BQ24" s="77">
        <f t="shared" si="52"/>
        <v>2.4767507876824557</v>
      </c>
      <c r="BR24" s="77">
        <f t="shared" si="52"/>
        <v>2.5526328456016576</v>
      </c>
      <c r="BS24" s="77">
        <f t="shared" si="52"/>
        <v>1.9907038072881811</v>
      </c>
      <c r="BT24" s="78">
        <f t="shared" si="52"/>
        <v>11.169030967243868</v>
      </c>
      <c r="BU24" s="78">
        <f t="shared" si="52"/>
        <v>21.726193235987559</v>
      </c>
      <c r="BV24" s="79">
        <f t="shared" si="52"/>
        <v>0.14082316108741447</v>
      </c>
      <c r="BW24" s="78"/>
      <c r="BX24" s="78">
        <f t="shared" ref="BX24:CO24" si="53">STDEV(BX2:BX22)</f>
        <v>17.854109632497241</v>
      </c>
      <c r="BY24" s="78">
        <f t="shared" si="53"/>
        <v>17.641733736534206</v>
      </c>
      <c r="BZ24" s="79">
        <f t="shared" si="53"/>
        <v>8.6553938865896296E-2</v>
      </c>
      <c r="CA24" s="79">
        <f t="shared" si="53"/>
        <v>8.5423198824263413E-2</v>
      </c>
      <c r="CB24" s="78">
        <f t="shared" si="53"/>
        <v>19.057028353610907</v>
      </c>
      <c r="CC24" s="79">
        <f t="shared" si="53"/>
        <v>9.7379439921082375E-2</v>
      </c>
      <c r="CD24" s="78">
        <f t="shared" si="53"/>
        <v>13.600565384861</v>
      </c>
      <c r="CE24" s="78">
        <f t="shared" si="53"/>
        <v>18.368574943488245</v>
      </c>
      <c r="CF24" s="78">
        <f t="shared" si="53"/>
        <v>16.049402896473541</v>
      </c>
      <c r="CG24" s="78" t="e">
        <f t="shared" si="53"/>
        <v>#DIV/0!</v>
      </c>
      <c r="CH24" s="78">
        <f t="shared" si="53"/>
        <v>17.073371078963874</v>
      </c>
      <c r="CI24" s="78">
        <f t="shared" si="53"/>
        <v>1.4142135623730951</v>
      </c>
      <c r="CJ24" s="78">
        <f t="shared" si="53"/>
        <v>18.64621459388789</v>
      </c>
      <c r="CK24" s="78">
        <f t="shared" si="53"/>
        <v>23.300409672559212</v>
      </c>
      <c r="CL24" s="78">
        <f t="shared" si="53"/>
        <v>21.10823754622097</v>
      </c>
      <c r="CM24" s="78">
        <f t="shared" si="53"/>
        <v>18.837086818823767</v>
      </c>
      <c r="CN24" s="78">
        <f t="shared" si="53"/>
        <v>18.492772612263671</v>
      </c>
      <c r="CO24" s="78">
        <f t="shared" si="53"/>
        <v>20.653416414357626</v>
      </c>
      <c r="CP24" s="79">
        <f>STDEV(CP2:CP22)</f>
        <v>7.7489597778324398E-2</v>
      </c>
      <c r="CQ24" s="79">
        <f t="shared" ref="CQ24:DV24" si="54">STDEV(CQ2:CQ22)</f>
        <v>0.14094097094898642</v>
      </c>
      <c r="CR24" s="79">
        <f t="shared" si="54"/>
        <v>9.804091884096984E-2</v>
      </c>
      <c r="CS24" s="78">
        <f t="shared" si="54"/>
        <v>20.813668374623237</v>
      </c>
      <c r="CT24" s="82">
        <f t="shared" si="54"/>
        <v>0.62144858229387567</v>
      </c>
      <c r="CU24" s="82">
        <f t="shared" si="54"/>
        <v>0.90773072172760827</v>
      </c>
      <c r="CV24" s="82">
        <f t="shared" si="54"/>
        <v>1.2644544021296036</v>
      </c>
      <c r="CW24" s="82">
        <f t="shared" si="54"/>
        <v>1.0465180361560913</v>
      </c>
      <c r="CX24" s="82">
        <f t="shared" si="54"/>
        <v>0.67145064372462271</v>
      </c>
      <c r="CY24" s="82">
        <f t="shared" si="54"/>
        <v>0.78189943023082409</v>
      </c>
      <c r="CZ24" s="82">
        <f t="shared" si="54"/>
        <v>0.62699313947601143</v>
      </c>
      <c r="DA24" s="82">
        <f t="shared" si="54"/>
        <v>0.54988681581219279</v>
      </c>
      <c r="DB24" s="82" t="e">
        <f t="shared" si="54"/>
        <v>#DIV/0!</v>
      </c>
      <c r="DC24" s="82">
        <f t="shared" si="54"/>
        <v>0.68047499738298245</v>
      </c>
      <c r="DD24" s="82">
        <f t="shared" si="54"/>
        <v>0.7076430821949895</v>
      </c>
      <c r="DE24" s="82">
        <f t="shared" si="54"/>
        <v>0.74194227097391141</v>
      </c>
      <c r="DF24" s="82">
        <f t="shared" si="54"/>
        <v>0.56877251636805193</v>
      </c>
      <c r="DG24" s="83">
        <f t="shared" si="54"/>
        <v>8.0153290637378056</v>
      </c>
      <c r="DH24" s="83">
        <f t="shared" si="54"/>
        <v>1.552417469626</v>
      </c>
      <c r="DI24" s="83">
        <f t="shared" si="54"/>
        <v>0.46634750991079615</v>
      </c>
      <c r="DJ24" s="83">
        <f t="shared" si="54"/>
        <v>0.4633357314086598</v>
      </c>
      <c r="DK24" s="83">
        <f t="shared" si="54"/>
        <v>2.8862345712017161</v>
      </c>
      <c r="DL24" s="84">
        <f t="shared" si="54"/>
        <v>9.0859801477483515</v>
      </c>
      <c r="DM24" s="84">
        <f t="shared" si="54"/>
        <v>0.24318914499944169</v>
      </c>
      <c r="DN24" s="83">
        <f t="shared" si="54"/>
        <v>0.82463844891477656</v>
      </c>
      <c r="DO24" s="83">
        <f t="shared" si="54"/>
        <v>1.0794664041825754</v>
      </c>
      <c r="DP24" s="85">
        <f t="shared" si="54"/>
        <v>0.10723805294763608</v>
      </c>
      <c r="DQ24" s="86">
        <f t="shared" si="54"/>
        <v>27.928480087537881</v>
      </c>
      <c r="DR24" s="86">
        <f t="shared" si="54"/>
        <v>4.4721359549995796</v>
      </c>
      <c r="DS24" s="86">
        <f t="shared" si="54"/>
        <v>171.17885383422805</v>
      </c>
      <c r="DT24" s="86">
        <f t="shared" si="54"/>
        <v>36.972963094672302</v>
      </c>
      <c r="DU24" s="83">
        <f t="shared" si="54"/>
        <v>1.908088048282895</v>
      </c>
      <c r="DV24" s="83">
        <f t="shared" si="54"/>
        <v>0.79127744818110413</v>
      </c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9"/>
      <c r="GB24" s="49"/>
      <c r="GC24" s="49"/>
      <c r="GD24" s="49"/>
      <c r="GE24" s="49"/>
      <c r="GF24" s="49"/>
      <c r="GG24" s="49"/>
      <c r="GH24" s="52"/>
      <c r="GI24" s="52"/>
      <c r="GJ24" s="52"/>
      <c r="GK24" s="52"/>
      <c r="GL24" s="52"/>
      <c r="GM24" s="59"/>
      <c r="GN24" s="86">
        <f t="shared" ref="GN24:GS24" si="55">STDEV(GN2:GN22)</f>
        <v>2194.4867737127056</v>
      </c>
      <c r="GO24" s="83">
        <f t="shared" si="55"/>
        <v>1.8106754139120169</v>
      </c>
      <c r="GP24" s="83">
        <f t="shared" si="55"/>
        <v>1.4163974788814819</v>
      </c>
      <c r="GQ24" s="83">
        <f t="shared" si="55"/>
        <v>0.41501369090231671</v>
      </c>
      <c r="GR24" s="83">
        <f t="shared" si="55"/>
        <v>0.90694291691674478</v>
      </c>
      <c r="GS24" s="86">
        <f t="shared" si="55"/>
        <v>500.04517509557684</v>
      </c>
    </row>
    <row r="25" spans="1:201" s="39" customFormat="1" x14ac:dyDescent="0.35">
      <c r="A25" s="35" t="s">
        <v>138</v>
      </c>
      <c r="B25" s="35"/>
      <c r="C25" s="35"/>
      <c r="D25" s="35"/>
      <c r="E25" s="35"/>
      <c r="F25" s="38">
        <f t="shared" ref="F25:M25" si="56">MEDIAN(F2:F22)</f>
        <v>67</v>
      </c>
      <c r="G25" s="96">
        <f t="shared" si="56"/>
        <v>1.76</v>
      </c>
      <c r="H25" s="36">
        <f t="shared" si="56"/>
        <v>94.1</v>
      </c>
      <c r="I25" s="36">
        <f t="shared" si="56"/>
        <v>30.163127116035707</v>
      </c>
      <c r="J25" s="36">
        <f t="shared" si="56"/>
        <v>3.75</v>
      </c>
      <c r="K25" s="101">
        <f t="shared" si="56"/>
        <v>3.5</v>
      </c>
      <c r="L25" s="36">
        <f t="shared" si="56"/>
        <v>22.7</v>
      </c>
      <c r="M25" s="37">
        <f t="shared" si="56"/>
        <v>0.61621621621621625</v>
      </c>
      <c r="N25" s="37">
        <f t="shared" ref="N25:AD25" si="57">MEDIAN(N2:N22)</f>
        <v>0.41088385682980277</v>
      </c>
      <c r="O25" s="37">
        <f t="shared" si="57"/>
        <v>0.66666666666666663</v>
      </c>
      <c r="P25" s="37">
        <f t="shared" si="57"/>
        <v>0.86169480546736676</v>
      </c>
      <c r="Q25" s="72">
        <f t="shared" si="57"/>
        <v>14.5</v>
      </c>
      <c r="R25" s="73">
        <f t="shared" si="57"/>
        <v>15.950000000000001</v>
      </c>
      <c r="S25" s="72">
        <f t="shared" si="57"/>
        <v>4.1428571428571432</v>
      </c>
      <c r="T25" s="72">
        <f t="shared" si="57"/>
        <v>4.1428571428571432</v>
      </c>
      <c r="U25" s="74">
        <f t="shared" si="57"/>
        <v>1.18</v>
      </c>
      <c r="V25" s="75">
        <f t="shared" si="57"/>
        <v>90</v>
      </c>
      <c r="W25" s="75">
        <f t="shared" si="57"/>
        <v>540</v>
      </c>
      <c r="X25" s="72">
        <f t="shared" si="57"/>
        <v>8.8000000000000007</v>
      </c>
      <c r="Y25" s="75">
        <f t="shared" si="57"/>
        <v>20</v>
      </c>
      <c r="Z25" s="75">
        <f t="shared" si="57"/>
        <v>135</v>
      </c>
      <c r="AA25" s="72">
        <f t="shared" si="57"/>
        <v>12.684999999999999</v>
      </c>
      <c r="AB25" s="75">
        <f t="shared" si="57"/>
        <v>70</v>
      </c>
      <c r="AC25" s="75">
        <f t="shared" si="57"/>
        <v>370</v>
      </c>
      <c r="AD25" s="72">
        <f t="shared" si="57"/>
        <v>31.1</v>
      </c>
      <c r="AE25" s="75"/>
      <c r="AF25" s="75">
        <f>MEDIAN(AF2:AF22)</f>
        <v>68</v>
      </c>
      <c r="AG25" s="75">
        <f>MEDIAN(AG2:AG22)</f>
        <v>84</v>
      </c>
      <c r="AH25" s="75">
        <f t="shared" ref="AH25:BV25" si="58">MEDIAN(AH2:AH22)</f>
        <v>106</v>
      </c>
      <c r="AI25" s="75">
        <f t="shared" si="58"/>
        <v>111</v>
      </c>
      <c r="AJ25" s="41">
        <f t="shared" si="58"/>
        <v>116.55000000000001</v>
      </c>
      <c r="AK25" s="77">
        <f t="shared" si="58"/>
        <v>2.94</v>
      </c>
      <c r="AL25" s="77">
        <f t="shared" si="58"/>
        <v>16.399999999999999</v>
      </c>
      <c r="AM25" s="79">
        <f t="shared" si="58"/>
        <v>1.1367875647668395</v>
      </c>
      <c r="AN25" s="80">
        <f t="shared" si="58"/>
        <v>1.0334432406971266</v>
      </c>
      <c r="AO25" s="77">
        <f t="shared" si="58"/>
        <v>4.6857142857142851</v>
      </c>
      <c r="AP25" s="77">
        <f t="shared" si="58"/>
        <v>5.1902985074626864</v>
      </c>
      <c r="AQ25" s="81">
        <f t="shared" si="58"/>
        <v>0.95</v>
      </c>
      <c r="AR25" s="77">
        <f t="shared" si="58"/>
        <v>11.66</v>
      </c>
      <c r="AS25" s="77">
        <f t="shared" si="58"/>
        <v>12.11</v>
      </c>
      <c r="AT25" s="77">
        <f t="shared" si="58"/>
        <v>3.8171641791044775</v>
      </c>
      <c r="AU25" s="77">
        <f t="shared" si="58"/>
        <v>3.46</v>
      </c>
      <c r="AV25" s="77">
        <f t="shared" si="58"/>
        <v>3.6913419913419911</v>
      </c>
      <c r="AW25" s="79">
        <f t="shared" si="58"/>
        <v>0.91878172588832496</v>
      </c>
      <c r="AX25" s="79">
        <f t="shared" si="58"/>
        <v>0.87828947368421051</v>
      </c>
      <c r="AY25" s="80">
        <f t="shared" si="58"/>
        <v>0.79844497607655507</v>
      </c>
      <c r="AZ25" s="77">
        <f t="shared" si="58"/>
        <v>11.52</v>
      </c>
      <c r="BA25" s="79">
        <f t="shared" si="58"/>
        <v>0.78498293515358353</v>
      </c>
      <c r="BB25" s="79">
        <f t="shared" si="58"/>
        <v>0.83442838370565042</v>
      </c>
      <c r="BC25" s="80">
        <f t="shared" si="58"/>
        <v>0.75857125791422764</v>
      </c>
      <c r="BD25" s="77">
        <f t="shared" si="58"/>
        <v>3.2914285714285714</v>
      </c>
      <c r="BE25" s="77">
        <f t="shared" si="58"/>
        <v>3.2914285714285714</v>
      </c>
      <c r="BF25" s="81">
        <f t="shared" si="58"/>
        <v>1.03</v>
      </c>
      <c r="BG25" s="77">
        <f t="shared" si="58"/>
        <v>12.425000000000001</v>
      </c>
      <c r="BH25" s="77">
        <f t="shared" si="58"/>
        <v>13.64</v>
      </c>
      <c r="BI25" s="77">
        <f t="shared" si="58"/>
        <v>13.7</v>
      </c>
      <c r="BJ25" s="77">
        <f t="shared" si="58"/>
        <v>7.8100000000000005</v>
      </c>
      <c r="BK25" s="77">
        <f t="shared" si="58"/>
        <v>12.06</v>
      </c>
      <c r="BL25" s="77">
        <f t="shared" si="58"/>
        <v>11.55</v>
      </c>
      <c r="BM25" s="77">
        <f t="shared" si="58"/>
        <v>12.059999999999999</v>
      </c>
      <c r="BN25" s="77">
        <f t="shared" si="58"/>
        <v>14.75</v>
      </c>
      <c r="BO25" s="77">
        <f t="shared" si="58"/>
        <v>10.8</v>
      </c>
      <c r="BP25" s="77">
        <f t="shared" si="58"/>
        <v>11.99625</v>
      </c>
      <c r="BQ25" s="77">
        <f t="shared" si="58"/>
        <v>11.65</v>
      </c>
      <c r="BR25" s="77">
        <f t="shared" si="58"/>
        <v>10.975</v>
      </c>
      <c r="BS25" s="77">
        <f t="shared" si="58"/>
        <v>7.3900000000000006</v>
      </c>
      <c r="BT25" s="78">
        <f t="shared" si="58"/>
        <v>64.5</v>
      </c>
      <c r="BU25" s="78">
        <f t="shared" si="58"/>
        <v>114</v>
      </c>
      <c r="BV25" s="79">
        <f t="shared" si="58"/>
        <v>1.0562478062478062</v>
      </c>
      <c r="BW25" s="78"/>
      <c r="BX25" s="78">
        <f t="shared" ref="BX25:CO25" si="59">MEDIAN(BX2:BX22)</f>
        <v>92</v>
      </c>
      <c r="BY25" s="78">
        <f t="shared" si="59"/>
        <v>94.5</v>
      </c>
      <c r="BZ25" s="79">
        <f t="shared" si="59"/>
        <v>0.84846491228070176</v>
      </c>
      <c r="CA25" s="79">
        <f t="shared" si="59"/>
        <v>0.8125</v>
      </c>
      <c r="CB25" s="78">
        <f t="shared" si="59"/>
        <v>97.5</v>
      </c>
      <c r="CC25" s="79">
        <f t="shared" si="59"/>
        <v>0.91666666666666674</v>
      </c>
      <c r="CD25" s="78">
        <f t="shared" si="59"/>
        <v>95.75</v>
      </c>
      <c r="CE25" s="78">
        <f t="shared" si="59"/>
        <v>112</v>
      </c>
      <c r="CF25" s="78">
        <f t="shared" si="59"/>
        <v>124.5</v>
      </c>
      <c r="CG25" s="78">
        <f t="shared" si="59"/>
        <v>81</v>
      </c>
      <c r="CH25" s="78">
        <f t="shared" si="59"/>
        <v>110</v>
      </c>
      <c r="CI25" s="78">
        <f t="shared" si="59"/>
        <v>83</v>
      </c>
      <c r="CJ25" s="78">
        <f t="shared" si="59"/>
        <v>94.75</v>
      </c>
      <c r="CK25" s="78">
        <f t="shared" si="59"/>
        <v>101</v>
      </c>
      <c r="CL25" s="78">
        <f t="shared" si="59"/>
        <v>98.5</v>
      </c>
      <c r="CM25" s="78">
        <f t="shared" si="59"/>
        <v>99.1875</v>
      </c>
      <c r="CN25" s="78">
        <f t="shared" si="59"/>
        <v>97.875</v>
      </c>
      <c r="CO25" s="78">
        <f t="shared" si="59"/>
        <v>95</v>
      </c>
      <c r="CP25" s="79">
        <f>MEDIAN(CP2:CP22)</f>
        <v>0.91096938775510194</v>
      </c>
      <c r="CQ25" s="79">
        <f t="shared" ref="CQ25:DV25" si="60">MEDIAN(CQ2:CQ22)</f>
        <v>0.90603741496598644</v>
      </c>
      <c r="CR25" s="79">
        <f t="shared" si="60"/>
        <v>0.92087585034013597</v>
      </c>
      <c r="CS25" s="78">
        <f t="shared" si="60"/>
        <v>86.5</v>
      </c>
      <c r="CT25" s="82">
        <f t="shared" si="60"/>
        <v>3.55</v>
      </c>
      <c r="CU25" s="82">
        <f t="shared" si="60"/>
        <v>3.8971428571428572</v>
      </c>
      <c r="CV25" s="82">
        <f t="shared" si="60"/>
        <v>3.5228571428571427</v>
      </c>
      <c r="CW25" s="82">
        <f t="shared" si="60"/>
        <v>2.2314285714285713</v>
      </c>
      <c r="CX25" s="82">
        <f t="shared" si="60"/>
        <v>3.4457142857142857</v>
      </c>
      <c r="CY25" s="82">
        <f t="shared" si="60"/>
        <v>3.3000000000000003</v>
      </c>
      <c r="CZ25" s="82">
        <f t="shared" si="60"/>
        <v>3.4457142857142857</v>
      </c>
      <c r="DA25" s="82">
        <f t="shared" si="60"/>
        <v>4.2142857142857144</v>
      </c>
      <c r="DB25" s="82">
        <f t="shared" si="60"/>
        <v>3.7241379310344831</v>
      </c>
      <c r="DC25" s="82">
        <f t="shared" si="60"/>
        <v>3.4101785714285713</v>
      </c>
      <c r="DD25" s="82">
        <f t="shared" si="60"/>
        <v>3.3285714285714287</v>
      </c>
      <c r="DE25" s="82">
        <f t="shared" si="60"/>
        <v>3.1050000000000004</v>
      </c>
      <c r="DF25" s="82">
        <f t="shared" si="60"/>
        <v>2.1114285714285712</v>
      </c>
      <c r="DG25" s="83">
        <f t="shared" si="60"/>
        <v>91.05</v>
      </c>
      <c r="DH25" s="83">
        <f t="shared" si="60"/>
        <v>0.5</v>
      </c>
      <c r="DI25" s="83">
        <f t="shared" si="60"/>
        <v>3.46</v>
      </c>
      <c r="DJ25" s="83">
        <f t="shared" si="60"/>
        <v>3.3</v>
      </c>
      <c r="DK25" s="83">
        <f t="shared" si="60"/>
        <v>13.57</v>
      </c>
      <c r="DL25" s="84">
        <f t="shared" si="60"/>
        <v>-1.165331391114349</v>
      </c>
      <c r="DM25" s="84">
        <f t="shared" si="60"/>
        <v>0.53951890034364258</v>
      </c>
      <c r="DN25" s="83">
        <f t="shared" si="60"/>
        <v>3.8771428571428572</v>
      </c>
      <c r="DO25" s="83">
        <f t="shared" si="60"/>
        <v>4.7575757575757578</v>
      </c>
      <c r="DP25" s="85">
        <f t="shared" si="60"/>
        <v>1.34</v>
      </c>
      <c r="DQ25" s="86">
        <f t="shared" si="60"/>
        <v>100</v>
      </c>
      <c r="DR25" s="86">
        <f t="shared" si="60"/>
        <v>10</v>
      </c>
      <c r="DS25" s="86">
        <f t="shared" si="60"/>
        <v>609</v>
      </c>
      <c r="DT25" s="86">
        <f t="shared" si="60"/>
        <v>30</v>
      </c>
      <c r="DU25" s="83">
        <f t="shared" si="60"/>
        <v>9.8000000000000007</v>
      </c>
      <c r="DV25" s="83">
        <f t="shared" si="60"/>
        <v>0.15000000000000036</v>
      </c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9"/>
      <c r="GB25" s="49"/>
      <c r="GC25" s="49"/>
      <c r="GD25" s="49"/>
      <c r="GE25" s="49"/>
      <c r="GF25" s="49"/>
      <c r="GG25" s="49"/>
      <c r="GH25" s="52"/>
      <c r="GI25" s="52"/>
      <c r="GJ25" s="52"/>
      <c r="GK25" s="52"/>
      <c r="GL25" s="52"/>
      <c r="GM25" s="59"/>
      <c r="GN25" s="86">
        <f t="shared" ref="GN25:GS25" si="61">MEDIAN(GN2:GN22)</f>
        <v>4115</v>
      </c>
      <c r="GO25" s="83">
        <f t="shared" si="61"/>
        <v>20</v>
      </c>
      <c r="GP25" s="83">
        <f t="shared" si="61"/>
        <v>3.1</v>
      </c>
      <c r="GQ25" s="83">
        <f t="shared" si="61"/>
        <v>1</v>
      </c>
      <c r="GR25" s="83">
        <f t="shared" si="61"/>
        <v>32</v>
      </c>
      <c r="GS25" s="86">
        <f t="shared" si="61"/>
        <v>2998.8</v>
      </c>
    </row>
    <row r="26" spans="1:201" s="39" customFormat="1" x14ac:dyDescent="0.35">
      <c r="A26" s="35" t="s">
        <v>149</v>
      </c>
      <c r="B26" s="35"/>
      <c r="C26" s="35"/>
      <c r="D26" s="35"/>
      <c r="E26" s="35"/>
      <c r="F26" s="38">
        <f t="shared" ref="F26:M26" si="62">MIN(F2:F22)</f>
        <v>48</v>
      </c>
      <c r="G26" s="96">
        <f t="shared" si="62"/>
        <v>1.65</v>
      </c>
      <c r="H26" s="36">
        <f t="shared" si="62"/>
        <v>70.599999999999994</v>
      </c>
      <c r="I26" s="36">
        <f t="shared" si="62"/>
        <v>24.815843497162177</v>
      </c>
      <c r="J26" s="36">
        <f t="shared" si="62"/>
        <v>2.91</v>
      </c>
      <c r="K26" s="101">
        <f t="shared" si="62"/>
        <v>3.5</v>
      </c>
      <c r="L26" s="36">
        <f t="shared" si="62"/>
        <v>12.9</v>
      </c>
      <c r="M26" s="37">
        <f t="shared" si="62"/>
        <v>0.42511013215859034</v>
      </c>
      <c r="N26" s="37">
        <f t="shared" ref="N26:AD26" si="63">MIN(N2:N22)</f>
        <v>0.28325991189427313</v>
      </c>
      <c r="O26" s="37">
        <f t="shared" si="63"/>
        <v>0.5</v>
      </c>
      <c r="P26" s="37">
        <f t="shared" si="63"/>
        <v>0.73233166388425164</v>
      </c>
      <c r="Q26" s="72">
        <f t="shared" si="63"/>
        <v>8.8000000000000007</v>
      </c>
      <c r="R26" s="73">
        <f t="shared" si="63"/>
        <v>9.6800000000000015</v>
      </c>
      <c r="S26" s="72">
        <f t="shared" si="63"/>
        <v>2.5142857142857147</v>
      </c>
      <c r="T26" s="72">
        <f t="shared" si="63"/>
        <v>2.5142857142857147</v>
      </c>
      <c r="U26" s="74">
        <f t="shared" si="63"/>
        <v>0.99</v>
      </c>
      <c r="V26" s="75">
        <f t="shared" si="63"/>
        <v>50</v>
      </c>
      <c r="W26" s="75">
        <f t="shared" si="63"/>
        <v>310</v>
      </c>
      <c r="X26" s="72">
        <f t="shared" si="63"/>
        <v>6.1</v>
      </c>
      <c r="Y26" s="75">
        <f t="shared" si="63"/>
        <v>10</v>
      </c>
      <c r="Z26" s="75">
        <f t="shared" si="63"/>
        <v>80</v>
      </c>
      <c r="AA26" s="72">
        <f t="shared" si="63"/>
        <v>7.1</v>
      </c>
      <c r="AB26" s="75">
        <f t="shared" si="63"/>
        <v>30</v>
      </c>
      <c r="AC26" s="75">
        <f t="shared" si="63"/>
        <v>190</v>
      </c>
      <c r="AD26" s="72">
        <f t="shared" si="63"/>
        <v>25.11</v>
      </c>
      <c r="AE26" s="75"/>
      <c r="AF26" s="75">
        <f>MIN(AF2:AF22)</f>
        <v>54</v>
      </c>
      <c r="AG26" s="75">
        <f>MIN(AG2:AG22)</f>
        <v>69</v>
      </c>
      <c r="AH26" s="75">
        <f t="shared" ref="AH26:BV26" si="64">MIN(AH2:AH22)</f>
        <v>81</v>
      </c>
      <c r="AI26" s="75">
        <f t="shared" si="64"/>
        <v>81</v>
      </c>
      <c r="AJ26" s="41">
        <f t="shared" si="64"/>
        <v>85.05</v>
      </c>
      <c r="AK26" s="77">
        <f t="shared" si="64"/>
        <v>2.21</v>
      </c>
      <c r="AL26" s="77">
        <f t="shared" si="64"/>
        <v>10.75</v>
      </c>
      <c r="AM26" s="79">
        <f t="shared" si="64"/>
        <v>0.84863661658319423</v>
      </c>
      <c r="AN26" s="80">
        <f t="shared" si="64"/>
        <v>0.7714878332574493</v>
      </c>
      <c r="AO26" s="77">
        <f t="shared" si="64"/>
        <v>3.0714285714285716</v>
      </c>
      <c r="AP26" s="77">
        <f t="shared" si="64"/>
        <v>2.8493506493506495</v>
      </c>
      <c r="AQ26" s="81">
        <f t="shared" si="64"/>
        <v>0.7</v>
      </c>
      <c r="AR26" s="77">
        <f t="shared" si="64"/>
        <v>8.75</v>
      </c>
      <c r="AS26" s="77">
        <f t="shared" si="64"/>
        <v>9.06</v>
      </c>
      <c r="AT26" s="77">
        <f t="shared" si="64"/>
        <v>2.2195121951219514</v>
      </c>
      <c r="AU26" s="77">
        <f t="shared" si="64"/>
        <v>2.5885714285714285</v>
      </c>
      <c r="AV26" s="77">
        <f t="shared" si="64"/>
        <v>2.4423376623376623</v>
      </c>
      <c r="AW26" s="79">
        <f t="shared" si="64"/>
        <v>0.65909090909090906</v>
      </c>
      <c r="AX26" s="79">
        <f t="shared" si="64"/>
        <v>0.58806818181818177</v>
      </c>
      <c r="AY26" s="80">
        <f t="shared" si="64"/>
        <v>0.53460743801652888</v>
      </c>
      <c r="AZ26" s="77">
        <f t="shared" si="64"/>
        <v>7.64</v>
      </c>
      <c r="BA26" s="79">
        <f t="shared" si="64"/>
        <v>0.47062888735314451</v>
      </c>
      <c r="BB26" s="79">
        <f t="shared" si="64"/>
        <v>0.57373400111296613</v>
      </c>
      <c r="BC26" s="80">
        <f t="shared" si="64"/>
        <v>0.52157636464815105</v>
      </c>
      <c r="BD26" s="77">
        <f t="shared" si="64"/>
        <v>2.1828571428571428</v>
      </c>
      <c r="BE26" s="77">
        <f t="shared" si="64"/>
        <v>2.1828571428571428</v>
      </c>
      <c r="BF26" s="81">
        <f t="shared" si="64"/>
        <v>0.83</v>
      </c>
      <c r="BG26" s="77">
        <f t="shared" si="64"/>
        <v>8.17</v>
      </c>
      <c r="BH26" s="77">
        <f t="shared" si="64"/>
        <v>7.11</v>
      </c>
      <c r="BI26" s="77">
        <f t="shared" si="64"/>
        <v>9.43</v>
      </c>
      <c r="BJ26" s="77">
        <f t="shared" si="64"/>
        <v>5.22</v>
      </c>
      <c r="BK26" s="77">
        <f t="shared" si="64"/>
        <v>8.3099999999999987</v>
      </c>
      <c r="BL26" s="77">
        <f t="shared" si="64"/>
        <v>6.5</v>
      </c>
      <c r="BM26" s="77">
        <f t="shared" si="64"/>
        <v>6.26</v>
      </c>
      <c r="BN26" s="77">
        <f t="shared" si="64"/>
        <v>12.22</v>
      </c>
      <c r="BO26" s="77">
        <f t="shared" si="64"/>
        <v>10.8</v>
      </c>
      <c r="BP26" s="77">
        <f t="shared" si="64"/>
        <v>7.01</v>
      </c>
      <c r="BQ26" s="77">
        <f t="shared" si="64"/>
        <v>7.2050000000000001</v>
      </c>
      <c r="BR26" s="77">
        <f t="shared" si="64"/>
        <v>8.1649999999999991</v>
      </c>
      <c r="BS26" s="77">
        <f t="shared" si="64"/>
        <v>4.62</v>
      </c>
      <c r="BT26" s="78">
        <f t="shared" si="64"/>
        <v>52</v>
      </c>
      <c r="BU26" s="78">
        <f t="shared" si="64"/>
        <v>94</v>
      </c>
      <c r="BV26" s="79">
        <f t="shared" si="64"/>
        <v>0.8571428571428571</v>
      </c>
      <c r="BW26" s="78"/>
      <c r="BX26" s="78">
        <f t="shared" ref="BX26:CO26" si="65">MIN(BX2:BX22)</f>
        <v>66</v>
      </c>
      <c r="BY26" s="78">
        <f t="shared" si="65"/>
        <v>79</v>
      </c>
      <c r="BZ26" s="79">
        <f t="shared" si="65"/>
        <v>0.7053571428571429</v>
      </c>
      <c r="CA26" s="79">
        <f t="shared" si="65"/>
        <v>0.6964285714285714</v>
      </c>
      <c r="CB26" s="78">
        <f t="shared" si="65"/>
        <v>81</v>
      </c>
      <c r="CC26" s="79">
        <f t="shared" si="65"/>
        <v>0.7589285714285714</v>
      </c>
      <c r="CD26" s="78">
        <f t="shared" si="65"/>
        <v>88</v>
      </c>
      <c r="CE26" s="78">
        <f t="shared" si="65"/>
        <v>87</v>
      </c>
      <c r="CF26" s="78">
        <f t="shared" si="65"/>
        <v>97</v>
      </c>
      <c r="CG26" s="78">
        <f t="shared" si="65"/>
        <v>81</v>
      </c>
      <c r="CH26" s="78">
        <f t="shared" si="65"/>
        <v>84</v>
      </c>
      <c r="CI26" s="78">
        <f t="shared" si="65"/>
        <v>82</v>
      </c>
      <c r="CJ26" s="78">
        <f t="shared" si="65"/>
        <v>76</v>
      </c>
      <c r="CK26" s="78">
        <f t="shared" si="65"/>
        <v>69</v>
      </c>
      <c r="CL26" s="78">
        <f t="shared" si="65"/>
        <v>74</v>
      </c>
      <c r="CM26" s="78">
        <f t="shared" si="65"/>
        <v>77.333333333333329</v>
      </c>
      <c r="CN26" s="78">
        <f t="shared" si="65"/>
        <v>78.5</v>
      </c>
      <c r="CO26" s="78">
        <f t="shared" si="65"/>
        <v>80.2</v>
      </c>
      <c r="CP26" s="79">
        <f>MIN(CP2:CP22)</f>
        <v>0.81209677419354842</v>
      </c>
      <c r="CQ26" s="79">
        <f t="shared" ref="CQ26:DV26" si="66">MIN(CQ2:CQ22)</f>
        <v>0.64802631578947367</v>
      </c>
      <c r="CR26" s="79">
        <f t="shared" si="66"/>
        <v>0.75</v>
      </c>
      <c r="CS26" s="78">
        <f t="shared" si="66"/>
        <v>74</v>
      </c>
      <c r="CT26" s="82">
        <f t="shared" si="66"/>
        <v>2.3342857142857141</v>
      </c>
      <c r="CU26" s="82">
        <f t="shared" si="66"/>
        <v>2.0314285714285716</v>
      </c>
      <c r="CV26" s="82">
        <f t="shared" si="66"/>
        <v>0</v>
      </c>
      <c r="CW26" s="82">
        <f t="shared" si="66"/>
        <v>1.4914285714285713</v>
      </c>
      <c r="CX26" s="82">
        <f t="shared" si="66"/>
        <v>2.3742857142857141</v>
      </c>
      <c r="CY26" s="82">
        <f t="shared" si="66"/>
        <v>1.8571428571428572</v>
      </c>
      <c r="CZ26" s="82">
        <f t="shared" si="66"/>
        <v>1.7885714285714285</v>
      </c>
      <c r="DA26" s="82">
        <f t="shared" si="66"/>
        <v>3.4914285714285715</v>
      </c>
      <c r="DB26" s="82">
        <f t="shared" si="66"/>
        <v>3.7241379310344831</v>
      </c>
      <c r="DC26" s="82">
        <f t="shared" si="66"/>
        <v>2.0028571428571427</v>
      </c>
      <c r="DD26" s="82">
        <f t="shared" si="66"/>
        <v>2.0585714285714287</v>
      </c>
      <c r="DE26" s="82">
        <f t="shared" si="66"/>
        <v>2.3328571428571427</v>
      </c>
      <c r="DF26" s="82">
        <f t="shared" si="66"/>
        <v>1.32</v>
      </c>
      <c r="DG26" s="83">
        <f t="shared" si="66"/>
        <v>78.900000000000006</v>
      </c>
      <c r="DH26" s="83">
        <f t="shared" si="66"/>
        <v>-1.5</v>
      </c>
      <c r="DI26" s="83">
        <f t="shared" si="66"/>
        <v>2.56</v>
      </c>
      <c r="DJ26" s="83">
        <f t="shared" si="66"/>
        <v>2.56</v>
      </c>
      <c r="DK26" s="83">
        <f t="shared" si="66"/>
        <v>9.41</v>
      </c>
      <c r="DL26" s="84">
        <f t="shared" si="66"/>
        <v>-12.85511363636364</v>
      </c>
      <c r="DM26" s="84">
        <f t="shared" si="66"/>
        <v>0.41453744493392075</v>
      </c>
      <c r="DN26" s="83">
        <f t="shared" si="66"/>
        <v>2.6885714285714286</v>
      </c>
      <c r="DO26" s="83">
        <f t="shared" si="66"/>
        <v>2.7196531791907517</v>
      </c>
      <c r="DP26" s="85">
        <f t="shared" si="66"/>
        <v>1.1100000000000001</v>
      </c>
      <c r="DQ26" s="86">
        <f t="shared" si="66"/>
        <v>60</v>
      </c>
      <c r="DR26" s="86">
        <f t="shared" si="66"/>
        <v>10</v>
      </c>
      <c r="DS26" s="86">
        <f t="shared" si="66"/>
        <v>330</v>
      </c>
      <c r="DT26" s="86">
        <f t="shared" si="66"/>
        <v>10</v>
      </c>
      <c r="DU26" s="83">
        <f t="shared" si="66"/>
        <v>7.16</v>
      </c>
      <c r="DV26" s="83">
        <f t="shared" si="66"/>
        <v>-0.25</v>
      </c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9"/>
      <c r="GB26" s="49"/>
      <c r="GC26" s="49"/>
      <c r="GD26" s="49"/>
      <c r="GE26" s="49"/>
      <c r="GF26" s="49"/>
      <c r="GG26" s="49"/>
      <c r="GH26" s="52"/>
      <c r="GI26" s="52"/>
      <c r="GJ26" s="52"/>
      <c r="GK26" s="52"/>
      <c r="GL26" s="52"/>
      <c r="GM26" s="52"/>
      <c r="GN26" s="86">
        <f t="shared" ref="GN26:GS26" si="67">MIN(GN2:GN22)</f>
        <v>1650</v>
      </c>
      <c r="GO26" s="83">
        <f t="shared" si="67"/>
        <v>16.7</v>
      </c>
      <c r="GP26" s="83">
        <f t="shared" si="67"/>
        <v>1.3</v>
      </c>
      <c r="GQ26" s="83">
        <f t="shared" si="67"/>
        <v>0.41</v>
      </c>
      <c r="GR26" s="83">
        <f t="shared" si="67"/>
        <v>31.1</v>
      </c>
      <c r="GS26" s="86">
        <f t="shared" si="67"/>
        <v>2294.5</v>
      </c>
    </row>
    <row r="27" spans="1:201" s="12" customFormat="1" x14ac:dyDescent="0.35">
      <c r="A27" s="35" t="s">
        <v>150</v>
      </c>
      <c r="B27" s="35"/>
      <c r="C27" s="35"/>
      <c r="D27" s="35"/>
      <c r="E27"/>
      <c r="F27" s="38">
        <f t="shared" ref="F27:M27" si="68">MAX(F2:F22)</f>
        <v>84</v>
      </c>
      <c r="G27" s="36">
        <f t="shared" si="68"/>
        <v>1.87</v>
      </c>
      <c r="H27" s="36">
        <f t="shared" si="68"/>
        <v>118.3</v>
      </c>
      <c r="I27" s="36">
        <f t="shared" si="68"/>
        <v>39.649810708491081</v>
      </c>
      <c r="J27" s="36">
        <f t="shared" si="68"/>
        <v>4.9000000000000004</v>
      </c>
      <c r="K27" s="36">
        <f t="shared" si="68"/>
        <v>3.5</v>
      </c>
      <c r="L27" s="36">
        <f t="shared" si="68"/>
        <v>30.4</v>
      </c>
      <c r="M27" s="37">
        <f t="shared" si="68"/>
        <v>1.2093023255813953</v>
      </c>
      <c r="N27" s="37">
        <f t="shared" ref="N27:AD27" si="69">MAX(N2:N22)</f>
        <v>0.87596899224806202</v>
      </c>
      <c r="O27" s="37">
        <f t="shared" si="69"/>
        <v>0.8421052631578948</v>
      </c>
      <c r="P27" s="37">
        <f t="shared" si="69"/>
        <v>0.96517739816031534</v>
      </c>
      <c r="Q27" s="72">
        <f t="shared" si="69"/>
        <v>19.7</v>
      </c>
      <c r="R27" s="73">
        <f t="shared" si="69"/>
        <v>21.67</v>
      </c>
      <c r="S27" s="72">
        <f t="shared" si="69"/>
        <v>5.6285714285714281</v>
      </c>
      <c r="T27" s="74">
        <f t="shared" si="69"/>
        <v>5.6285714285714281</v>
      </c>
      <c r="U27" s="74">
        <f t="shared" si="69"/>
        <v>1.37</v>
      </c>
      <c r="V27" s="75">
        <f t="shared" si="69"/>
        <v>130</v>
      </c>
      <c r="W27" s="75">
        <f t="shared" si="69"/>
        <v>788</v>
      </c>
      <c r="X27" s="72">
        <f t="shared" si="69"/>
        <v>13.9</v>
      </c>
      <c r="Y27" s="75">
        <f t="shared" si="69"/>
        <v>60</v>
      </c>
      <c r="Z27" s="75">
        <f t="shared" si="69"/>
        <v>320</v>
      </c>
      <c r="AA27" s="72">
        <f t="shared" si="69"/>
        <v>16.399999999999999</v>
      </c>
      <c r="AB27" s="75">
        <f t="shared" si="69"/>
        <v>90</v>
      </c>
      <c r="AC27" s="75">
        <f t="shared" si="69"/>
        <v>540</v>
      </c>
      <c r="AD27" s="72">
        <f t="shared" si="69"/>
        <v>36.25</v>
      </c>
      <c r="AE27" s="75"/>
      <c r="AF27" s="75">
        <f>MAX(AF2:AF22)</f>
        <v>104</v>
      </c>
      <c r="AG27" s="75">
        <f>MAX(AG2:AG22)</f>
        <v>126</v>
      </c>
      <c r="AH27" s="75">
        <f t="shared" ref="AH27:BV27" si="70">MAX(AH2:AH22)</f>
        <v>143</v>
      </c>
      <c r="AI27" s="75">
        <f t="shared" si="70"/>
        <v>155</v>
      </c>
      <c r="AJ27" s="41">
        <f t="shared" si="70"/>
        <v>162.75</v>
      </c>
      <c r="AK27" s="77">
        <f t="shared" si="70"/>
        <v>4.0999999999999996</v>
      </c>
      <c r="AL27" s="77">
        <f t="shared" si="70"/>
        <v>21.5</v>
      </c>
      <c r="AM27" s="79">
        <f t="shared" si="70"/>
        <v>1.4545454545454546</v>
      </c>
      <c r="AN27" s="80">
        <f t="shared" si="70"/>
        <v>1.3223140495867767</v>
      </c>
      <c r="AO27" s="77">
        <f t="shared" si="70"/>
        <v>6.1428571428571432</v>
      </c>
      <c r="AP27" s="77">
        <f t="shared" si="70"/>
        <v>6.9230769230769225</v>
      </c>
      <c r="AQ27" s="81">
        <f t="shared" si="70"/>
        <v>1.1299999999999999</v>
      </c>
      <c r="AR27" s="77">
        <f t="shared" si="70"/>
        <v>17.5</v>
      </c>
      <c r="AS27" s="77">
        <f t="shared" si="70"/>
        <v>18.100000000000001</v>
      </c>
      <c r="AT27" s="77">
        <f t="shared" si="70"/>
        <v>5</v>
      </c>
      <c r="AU27" s="77">
        <f t="shared" si="70"/>
        <v>5.1714285714285717</v>
      </c>
      <c r="AV27" s="77">
        <f t="shared" si="70"/>
        <v>5.0857142857142854</v>
      </c>
      <c r="AW27" s="79">
        <f t="shared" si="70"/>
        <v>1.3749999999999998</v>
      </c>
      <c r="AX27" s="79">
        <f t="shared" si="70"/>
        <v>1.3352272727272727</v>
      </c>
      <c r="AY27" s="80">
        <f t="shared" si="70"/>
        <v>1.2138429752066113</v>
      </c>
      <c r="AZ27" s="77">
        <f t="shared" si="70"/>
        <v>15.8</v>
      </c>
      <c r="BA27" s="79">
        <f t="shared" si="70"/>
        <v>1.452830188679245</v>
      </c>
      <c r="BB27" s="79">
        <f t="shared" si="70"/>
        <v>1.2727272727272725</v>
      </c>
      <c r="BC27" s="80">
        <f t="shared" si="70"/>
        <v>1.1570247933884295</v>
      </c>
      <c r="BD27" s="77">
        <f t="shared" si="70"/>
        <v>4.5142857142857142</v>
      </c>
      <c r="BE27" s="77">
        <f t="shared" si="70"/>
        <v>4.5142857142857142</v>
      </c>
      <c r="BF27" s="81">
        <f t="shared" si="70"/>
        <v>1.1599999999999999</v>
      </c>
      <c r="BG27" s="77">
        <f t="shared" si="70"/>
        <v>15.7</v>
      </c>
      <c r="BH27" s="77">
        <f t="shared" si="70"/>
        <v>19</v>
      </c>
      <c r="BI27" s="77">
        <f t="shared" si="70"/>
        <v>15.9</v>
      </c>
      <c r="BJ27" s="77">
        <f t="shared" si="70"/>
        <v>10.4</v>
      </c>
      <c r="BK27" s="77">
        <f t="shared" si="70"/>
        <v>16.100000000000001</v>
      </c>
      <c r="BL27" s="77">
        <f t="shared" si="70"/>
        <v>16.899999999999999</v>
      </c>
      <c r="BM27" s="77">
        <f t="shared" si="70"/>
        <v>15.7</v>
      </c>
      <c r="BN27" s="77">
        <f t="shared" si="70"/>
        <v>16.899999999999999</v>
      </c>
      <c r="BO27" s="77">
        <f t="shared" si="70"/>
        <v>10.8</v>
      </c>
      <c r="BP27" s="77">
        <f t="shared" si="70"/>
        <v>16.639999999999997</v>
      </c>
      <c r="BQ27" s="77">
        <f t="shared" si="70"/>
        <v>16.100000000000001</v>
      </c>
      <c r="BR27" s="77">
        <f t="shared" si="70"/>
        <v>15.75</v>
      </c>
      <c r="BS27" s="77">
        <f t="shared" si="70"/>
        <v>11.7</v>
      </c>
      <c r="BT27" s="78">
        <f t="shared" si="70"/>
        <v>88</v>
      </c>
      <c r="BU27" s="78">
        <f t="shared" si="70"/>
        <v>163</v>
      </c>
      <c r="BV27" s="79">
        <f t="shared" si="70"/>
        <v>1.3209876543209877</v>
      </c>
      <c r="BW27" s="78"/>
      <c r="BX27" s="78">
        <f t="shared" ref="BX27:CO27" si="71">MAX(BX2:BX22)</f>
        <v>117</v>
      </c>
      <c r="BY27" s="78">
        <f t="shared" si="71"/>
        <v>130</v>
      </c>
      <c r="BZ27" s="79">
        <f t="shared" si="71"/>
        <v>1</v>
      </c>
      <c r="CA27" s="79">
        <f t="shared" si="71"/>
        <v>0.9941860465116279</v>
      </c>
      <c r="CB27" s="78">
        <f t="shared" si="71"/>
        <v>136</v>
      </c>
      <c r="CC27" s="79">
        <f t="shared" si="71"/>
        <v>1.076086956521739</v>
      </c>
      <c r="CD27" s="78">
        <f t="shared" si="71"/>
        <v>127</v>
      </c>
      <c r="CE27" s="78">
        <f t="shared" si="71"/>
        <v>134</v>
      </c>
      <c r="CF27" s="78">
        <f t="shared" si="71"/>
        <v>131</v>
      </c>
      <c r="CG27" s="78">
        <f t="shared" si="71"/>
        <v>81</v>
      </c>
      <c r="CH27" s="78">
        <f t="shared" si="71"/>
        <v>135</v>
      </c>
      <c r="CI27" s="78">
        <f t="shared" si="71"/>
        <v>84</v>
      </c>
      <c r="CJ27" s="78">
        <f t="shared" si="71"/>
        <v>141</v>
      </c>
      <c r="CK27" s="78">
        <f t="shared" si="71"/>
        <v>142</v>
      </c>
      <c r="CL27" s="78">
        <f t="shared" si="71"/>
        <v>133</v>
      </c>
      <c r="CM27" s="78">
        <f t="shared" si="71"/>
        <v>133.19999999999999</v>
      </c>
      <c r="CN27" s="78">
        <f t="shared" si="71"/>
        <v>138</v>
      </c>
      <c r="CO27" s="78">
        <f t="shared" si="71"/>
        <v>142</v>
      </c>
      <c r="CP27" s="79">
        <f>MAX(CP2:CP22)</f>
        <v>1.0584239130434783</v>
      </c>
      <c r="CQ27" s="79">
        <f t="shared" ref="CQ27:DV27" si="72">MAX(CQ2:CQ22)</f>
        <v>1.1630434782608696</v>
      </c>
      <c r="CR27" s="79">
        <f t="shared" si="72"/>
        <v>1.0815217391304348</v>
      </c>
      <c r="CS27" s="78">
        <f t="shared" si="72"/>
        <v>133</v>
      </c>
      <c r="CT27" s="82">
        <f t="shared" si="72"/>
        <v>4.4857142857142858</v>
      </c>
      <c r="CU27" s="82">
        <f t="shared" si="72"/>
        <v>5.4285714285714288</v>
      </c>
      <c r="CV27" s="82">
        <f t="shared" si="72"/>
        <v>4.5428571428571427</v>
      </c>
      <c r="CW27" s="82">
        <f t="shared" si="72"/>
        <v>2.9714285714285715</v>
      </c>
      <c r="CX27" s="82">
        <f t="shared" si="72"/>
        <v>4.6000000000000005</v>
      </c>
      <c r="CY27" s="82">
        <f t="shared" si="72"/>
        <v>4.8285714285714283</v>
      </c>
      <c r="CZ27" s="82">
        <f t="shared" si="72"/>
        <v>4.4857142857142858</v>
      </c>
      <c r="DA27" s="82">
        <f t="shared" si="72"/>
        <v>4.8285714285714283</v>
      </c>
      <c r="DB27" s="82">
        <f t="shared" si="72"/>
        <v>3.7241379310344831</v>
      </c>
      <c r="DC27" s="82">
        <f t="shared" si="72"/>
        <v>4.7542857142857136</v>
      </c>
      <c r="DD27" s="82">
        <f t="shared" si="72"/>
        <v>4.6000000000000005</v>
      </c>
      <c r="DE27" s="82">
        <f t="shared" si="72"/>
        <v>4.5</v>
      </c>
      <c r="DF27" s="82">
        <f t="shared" si="72"/>
        <v>3.3428571428571425</v>
      </c>
      <c r="DG27" s="83">
        <f t="shared" si="72"/>
        <v>100.5</v>
      </c>
      <c r="DH27" s="83">
        <f t="shared" si="72"/>
        <v>2.8499999999999943</v>
      </c>
      <c r="DI27" s="83">
        <f t="shared" si="72"/>
        <v>3.81</v>
      </c>
      <c r="DJ27" s="83">
        <f t="shared" si="72"/>
        <v>3.81</v>
      </c>
      <c r="DK27" s="83">
        <f t="shared" si="72"/>
        <v>16.7</v>
      </c>
      <c r="DL27" s="84">
        <f t="shared" si="72"/>
        <v>12.155809267965068</v>
      </c>
      <c r="DM27" s="84">
        <f t="shared" si="72"/>
        <v>1.01</v>
      </c>
      <c r="DN27" s="83">
        <f t="shared" si="72"/>
        <v>4.7714285714285714</v>
      </c>
      <c r="DO27" s="83">
        <f t="shared" si="72"/>
        <v>5.387096774193548</v>
      </c>
      <c r="DP27" s="85">
        <f t="shared" si="72"/>
        <v>1.37</v>
      </c>
      <c r="DQ27" s="86">
        <f t="shared" si="72"/>
        <v>120</v>
      </c>
      <c r="DR27" s="86">
        <f t="shared" si="72"/>
        <v>20</v>
      </c>
      <c r="DS27" s="86">
        <f t="shared" si="72"/>
        <v>720</v>
      </c>
      <c r="DT27" s="86">
        <f t="shared" si="72"/>
        <v>103</v>
      </c>
      <c r="DU27" s="83">
        <f t="shared" si="72"/>
        <v>11.5</v>
      </c>
      <c r="DV27" s="83">
        <f t="shared" si="72"/>
        <v>1.4100000000000001</v>
      </c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16"/>
      <c r="GB27" s="16"/>
      <c r="GC27" s="16"/>
      <c r="GD27" s="16"/>
      <c r="GE27" s="16"/>
      <c r="GF27" s="16"/>
      <c r="GG27" s="16"/>
      <c r="GH27" s="51"/>
      <c r="GI27" s="51"/>
      <c r="GJ27" s="51"/>
      <c r="GK27" s="51"/>
      <c r="GL27" s="51"/>
      <c r="GM27" s="51"/>
      <c r="GN27" s="86">
        <f t="shared" ref="GN27:GS27" si="73">MAX(GN2:GN22)</f>
        <v>8318</v>
      </c>
      <c r="GO27" s="83">
        <f t="shared" si="73"/>
        <v>21.6</v>
      </c>
      <c r="GP27" s="83">
        <f t="shared" si="73"/>
        <v>5.7</v>
      </c>
      <c r="GQ27" s="83">
        <f t="shared" si="73"/>
        <v>1.73</v>
      </c>
      <c r="GR27" s="83">
        <f t="shared" si="73"/>
        <v>34</v>
      </c>
      <c r="GS27" s="86">
        <f t="shared" si="73"/>
        <v>3753.6</v>
      </c>
    </row>
    <row r="28" spans="1:201" s="12" customForma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 s="1"/>
      <c r="R28" s="32"/>
      <c r="S28" s="1"/>
      <c r="T28" s="5"/>
      <c r="U28" s="5"/>
      <c r="V28" s="76"/>
      <c r="W28" s="76"/>
      <c r="X28" s="1"/>
      <c r="Y28" s="76"/>
      <c r="Z28" s="76"/>
      <c r="AA28" s="1"/>
      <c r="AB28" s="76"/>
      <c r="AC28" s="76"/>
      <c r="AD28" s="1"/>
      <c r="AE28" s="1"/>
      <c r="AF28" s="76"/>
      <c r="AG28" s="76"/>
      <c r="AH28" s="76"/>
      <c r="AI28" s="76"/>
      <c r="AJ28" s="34"/>
      <c r="AK28" s="16"/>
      <c r="AL28" s="16"/>
      <c r="AM28" s="16"/>
      <c r="AN28" s="32"/>
      <c r="AO28" s="16"/>
      <c r="AP28" s="18"/>
      <c r="AQ28" s="19"/>
      <c r="AR28" s="18"/>
      <c r="AS28" s="18"/>
      <c r="AT28" s="18"/>
      <c r="AU28" s="18"/>
      <c r="AV28" s="18"/>
      <c r="AW28" s="17"/>
      <c r="AX28" s="17"/>
      <c r="AY28" s="33"/>
      <c r="AZ28" s="18"/>
      <c r="BA28" s="18"/>
      <c r="BB28" s="18"/>
      <c r="BC28" s="32"/>
      <c r="BD28" s="18"/>
      <c r="BE28" s="18"/>
      <c r="BF28" s="19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20"/>
      <c r="BU28" s="20"/>
      <c r="BV28" s="17"/>
      <c r="BW28" s="16"/>
      <c r="BX28" s="20"/>
      <c r="BY28" s="20"/>
      <c r="BZ28" s="17"/>
      <c r="CA28" s="17"/>
      <c r="CB28" s="20"/>
      <c r="CC28" s="17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17"/>
      <c r="CQ28" s="17"/>
      <c r="CR28" s="17"/>
      <c r="CS28" s="20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16"/>
      <c r="GB28" s="16"/>
      <c r="GC28" s="16"/>
      <c r="GD28" s="16"/>
      <c r="GE28" s="16"/>
      <c r="GF28" s="16"/>
      <c r="GG28" s="16"/>
      <c r="GH28" s="51"/>
      <c r="GI28" s="51"/>
      <c r="GJ28" s="51"/>
      <c r="GK28" s="51"/>
      <c r="GL28" s="51"/>
      <c r="GM28" s="51"/>
      <c r="GN28" s="53"/>
      <c r="GO28"/>
      <c r="GP28"/>
      <c r="GQ28"/>
    </row>
    <row r="29" spans="1:201" s="12" customFormat="1" x14ac:dyDescent="0.35">
      <c r="A29"/>
      <c r="B29"/>
      <c r="C29"/>
      <c r="D29"/>
      <c r="E29"/>
      <c r="F29"/>
      <c r="G29"/>
      <c r="H29" s="23"/>
      <c r="I29" s="23"/>
      <c r="J29" s="6"/>
      <c r="K29" s="6"/>
      <c r="L29" s="6"/>
      <c r="M29" s="6"/>
      <c r="N29" s="6"/>
      <c r="O29" s="6"/>
      <c r="P29" s="6"/>
      <c r="Q29" s="1"/>
      <c r="R29" s="32"/>
      <c r="S29" s="4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32"/>
      <c r="AK29" s="16"/>
      <c r="AL29" s="16"/>
      <c r="AM29" s="16"/>
      <c r="AN29" s="32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32"/>
      <c r="AZ29" s="16" t="s">
        <v>75</v>
      </c>
      <c r="BA29" s="16"/>
      <c r="BB29" s="16"/>
      <c r="BC29" s="32"/>
      <c r="BD29" s="16" t="s">
        <v>75</v>
      </c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20"/>
      <c r="BU29" s="20"/>
      <c r="BV29" s="16"/>
      <c r="BW29" s="16"/>
      <c r="BX29" s="16"/>
      <c r="BY29" s="16"/>
      <c r="BZ29" s="16"/>
      <c r="CA29" s="16"/>
      <c r="CB29" s="16" t="s">
        <v>75</v>
      </c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16"/>
      <c r="GB29" s="16"/>
      <c r="GC29" s="16"/>
      <c r="GD29" s="16"/>
      <c r="GE29" s="16"/>
      <c r="GF29" s="16"/>
      <c r="GG29" s="16"/>
      <c r="GH29" s="51"/>
      <c r="GI29" s="51"/>
      <c r="GJ29" s="51"/>
      <c r="GK29" s="51"/>
      <c r="GL29" s="51"/>
      <c r="GM29" s="51"/>
      <c r="GN29" s="53"/>
      <c r="GO29"/>
      <c r="GP29"/>
      <c r="GQ29"/>
    </row>
    <row r="30" spans="1:201" s="12" customFormat="1" x14ac:dyDescent="0.35">
      <c r="A30"/>
      <c r="B30"/>
      <c r="C30" s="93" t="s">
        <v>248</v>
      </c>
      <c r="D30" s="93"/>
      <c r="E30" s="93"/>
      <c r="F30" s="93"/>
      <c r="G30" s="93"/>
      <c r="H30" s="23"/>
      <c r="I30" s="23"/>
      <c r="J30"/>
      <c r="K30"/>
      <c r="L30"/>
      <c r="M30"/>
      <c r="N30"/>
      <c r="O30"/>
      <c r="P30"/>
      <c r="Q30" s="1"/>
      <c r="R30" s="32"/>
      <c r="S30" s="4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32"/>
      <c r="AK30" s="16"/>
      <c r="AL30" s="16"/>
      <c r="AM30" s="16"/>
      <c r="AN30" s="32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32"/>
      <c r="AZ30" s="16"/>
      <c r="BA30" s="16"/>
      <c r="BB30" s="16"/>
      <c r="BC30" s="32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16"/>
      <c r="GB30" s="16"/>
      <c r="GC30" s="16"/>
      <c r="GD30" s="16"/>
      <c r="GE30" s="16"/>
      <c r="GF30" s="16"/>
      <c r="GG30" s="16"/>
      <c r="GH30" s="51"/>
      <c r="GI30" s="51"/>
      <c r="GJ30" s="51"/>
      <c r="GK30" s="51"/>
      <c r="GL30" s="51"/>
      <c r="GM30" s="51"/>
      <c r="GN30" s="54"/>
      <c r="GO30"/>
      <c r="GP30"/>
      <c r="GQ30"/>
    </row>
    <row r="31" spans="1:201" s="12" customFormat="1" x14ac:dyDescent="0.35">
      <c r="A31"/>
      <c r="B31"/>
      <c r="C31"/>
      <c r="D31"/>
      <c r="E31"/>
      <c r="F31"/>
      <c r="G31"/>
      <c r="H31" s="23"/>
      <c r="I31" s="23"/>
      <c r="J31"/>
      <c r="K31"/>
      <c r="L31"/>
      <c r="M31"/>
      <c r="N31"/>
      <c r="O31"/>
      <c r="P31"/>
      <c r="Q31" s="1"/>
      <c r="R31" s="32"/>
      <c r="S31" s="4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32"/>
      <c r="AK31" s="16"/>
      <c r="AL31" s="16"/>
      <c r="AM31" s="16"/>
      <c r="AN31" s="32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32"/>
      <c r="AZ31" s="16"/>
      <c r="BA31" s="16"/>
      <c r="BB31" s="16"/>
      <c r="BC31" s="32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16"/>
      <c r="GB31" s="16"/>
      <c r="GC31" s="16"/>
      <c r="GD31" s="16"/>
      <c r="GE31" s="16"/>
      <c r="GF31" s="16"/>
      <c r="GG31" s="16"/>
      <c r="GH31" s="51"/>
      <c r="GI31" s="51"/>
      <c r="GJ31" s="51"/>
      <c r="GK31" s="51"/>
      <c r="GL31" s="51"/>
      <c r="GM31" s="51"/>
      <c r="GN31"/>
      <c r="GO31"/>
      <c r="GP31"/>
      <c r="GQ31"/>
    </row>
    <row r="32" spans="1:201" s="12" customFormat="1" x14ac:dyDescent="0.35">
      <c r="A32"/>
      <c r="B32"/>
      <c r="C32"/>
      <c r="D32"/>
      <c r="E32"/>
      <c r="F32"/>
      <c r="G32"/>
      <c r="H32" s="23"/>
      <c r="I32" s="23"/>
      <c r="J32"/>
      <c r="K32"/>
      <c r="L32"/>
      <c r="M32"/>
      <c r="N32"/>
      <c r="O32"/>
      <c r="P32"/>
      <c r="Q32" s="1"/>
      <c r="R32" s="32"/>
      <c r="S32" s="4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32"/>
      <c r="AK32" s="16"/>
      <c r="AL32" s="16"/>
      <c r="AM32" s="16"/>
      <c r="AN32" s="32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32"/>
      <c r="AZ32" s="16"/>
      <c r="BA32" s="16"/>
      <c r="BB32" s="16"/>
      <c r="BC32" s="32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16"/>
      <c r="GB32" s="16"/>
      <c r="GC32" s="16"/>
      <c r="GD32" s="16"/>
      <c r="GE32" s="16"/>
      <c r="GF32" s="16"/>
      <c r="GG32" s="16"/>
      <c r="GH32" s="51"/>
      <c r="GI32" s="51"/>
      <c r="GJ32" s="51"/>
      <c r="GK32" s="51"/>
      <c r="GL32" s="51"/>
      <c r="GM32" s="51"/>
      <c r="GN32"/>
      <c r="GO32"/>
      <c r="GP32"/>
      <c r="GQ32"/>
    </row>
    <row r="33" spans="1:199" s="12" customFormat="1" x14ac:dyDescent="0.35">
      <c r="A33"/>
      <c r="B33"/>
      <c r="C33"/>
      <c r="D33"/>
      <c r="E33"/>
      <c r="F33"/>
      <c r="G33"/>
      <c r="H33" s="23"/>
      <c r="I33" s="23"/>
      <c r="J33"/>
      <c r="K33"/>
      <c r="L33"/>
      <c r="M33"/>
      <c r="N33"/>
      <c r="O33"/>
      <c r="P33"/>
      <c r="Q33" s="1"/>
      <c r="R33" s="32"/>
      <c r="S33" s="4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32"/>
      <c r="AK33" s="16"/>
      <c r="AL33" s="16"/>
      <c r="AM33" s="16"/>
      <c r="AN33" s="32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32"/>
      <c r="AZ33" s="16"/>
      <c r="BA33" s="16"/>
      <c r="BB33" s="16"/>
      <c r="BC33" s="32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16"/>
      <c r="GB33" s="16"/>
      <c r="GC33" s="16"/>
      <c r="GD33" s="16"/>
      <c r="GE33" s="16"/>
      <c r="GF33" s="16"/>
      <c r="GG33" s="16"/>
      <c r="GH33" s="51"/>
      <c r="GI33" s="51"/>
      <c r="GJ33" s="51"/>
      <c r="GK33" s="51"/>
      <c r="GL33" s="51"/>
      <c r="GM33" s="51"/>
      <c r="GN33"/>
      <c r="GO33"/>
      <c r="GP33"/>
      <c r="GQ33"/>
    </row>
    <row r="34" spans="1:199" s="12" customFormat="1" x14ac:dyDescent="0.35">
      <c r="A34"/>
      <c r="B34"/>
      <c r="C34"/>
      <c r="D34"/>
      <c r="E34"/>
      <c r="F34"/>
      <c r="G34"/>
      <c r="H34" s="23"/>
      <c r="I34" s="23"/>
      <c r="J34"/>
      <c r="K34"/>
      <c r="L34"/>
      <c r="M34"/>
      <c r="N34"/>
      <c r="O34"/>
      <c r="P34"/>
      <c r="Q34" s="1"/>
      <c r="R34" s="32"/>
      <c r="S34" s="4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32"/>
      <c r="AK34" s="16"/>
      <c r="AL34" s="16"/>
      <c r="AM34" s="16"/>
      <c r="AN34" s="32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32"/>
      <c r="AZ34" s="16"/>
      <c r="BA34" s="16"/>
      <c r="BB34" s="16"/>
      <c r="BC34" s="32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16"/>
      <c r="GB34" s="16"/>
      <c r="GC34" s="16"/>
      <c r="GD34" s="16"/>
      <c r="GE34" s="16"/>
      <c r="GF34" s="16"/>
      <c r="GG34" s="16"/>
      <c r="GH34" s="51"/>
      <c r="GI34" s="51"/>
      <c r="GJ34" s="51"/>
      <c r="GK34" s="51"/>
      <c r="GL34" s="51"/>
      <c r="GM34" s="51"/>
      <c r="GN34"/>
      <c r="GO34"/>
      <c r="GP34"/>
      <c r="GQ34"/>
    </row>
    <row r="35" spans="1:199" s="12" customFormat="1" x14ac:dyDescent="0.35">
      <c r="A35"/>
      <c r="B35"/>
      <c r="C35"/>
      <c r="D35"/>
      <c r="E35"/>
      <c r="F35"/>
      <c r="G35"/>
      <c r="H35" s="23"/>
      <c r="I35" s="23"/>
      <c r="J35"/>
      <c r="K35"/>
      <c r="L35"/>
      <c r="M35"/>
      <c r="N35"/>
      <c r="O35"/>
      <c r="P35"/>
      <c r="Q35" s="1"/>
      <c r="R35" s="32"/>
      <c r="S35" s="4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32"/>
      <c r="AK35" s="16"/>
      <c r="AL35" s="16"/>
      <c r="AM35" s="16"/>
      <c r="AN35" s="32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32"/>
      <c r="AZ35" s="16"/>
      <c r="BA35" s="16"/>
      <c r="BB35" s="16"/>
      <c r="BC35" s="32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16"/>
      <c r="GB35" s="16"/>
      <c r="GC35" s="16"/>
      <c r="GD35" s="16"/>
      <c r="GE35" s="16"/>
      <c r="GF35" s="16"/>
      <c r="GG35" s="16"/>
      <c r="GH35" s="51"/>
      <c r="GI35" s="51"/>
      <c r="GJ35" s="51"/>
      <c r="GK35" s="51"/>
      <c r="GL35" s="51"/>
      <c r="GM35" s="51"/>
      <c r="GN35"/>
      <c r="GO35"/>
      <c r="GP35"/>
      <c r="GQ35"/>
    </row>
    <row r="36" spans="1:199" s="12" customFormat="1" x14ac:dyDescent="0.35">
      <c r="A36"/>
      <c r="B36"/>
      <c r="C36"/>
      <c r="D36"/>
      <c r="E36"/>
      <c r="F36"/>
      <c r="G36"/>
      <c r="H36" s="23"/>
      <c r="I36" s="23"/>
      <c r="J36"/>
      <c r="K36"/>
      <c r="L36"/>
      <c r="M36"/>
      <c r="N36"/>
      <c r="O36"/>
      <c r="P36"/>
      <c r="Q36" s="1"/>
      <c r="R36" s="32"/>
      <c r="S36" s="4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32"/>
      <c r="AK36" s="16"/>
      <c r="AL36" s="16"/>
      <c r="AM36" s="16"/>
      <c r="AN36" s="32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32"/>
      <c r="AZ36" s="16"/>
      <c r="BA36" s="16"/>
      <c r="BB36" s="16"/>
      <c r="BC36" s="32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16"/>
      <c r="GB36" s="16"/>
      <c r="GC36" s="16"/>
      <c r="GD36" s="16"/>
      <c r="GE36" s="16"/>
      <c r="GF36" s="16"/>
      <c r="GG36" s="16"/>
      <c r="GH36" s="51"/>
      <c r="GI36" s="51"/>
      <c r="GJ36" s="51"/>
      <c r="GK36" s="51"/>
      <c r="GL36" s="51"/>
      <c r="GM36" s="51"/>
      <c r="GN36"/>
      <c r="GO36"/>
      <c r="GP36"/>
      <c r="GQ36"/>
    </row>
    <row r="37" spans="1:199" s="12" customFormat="1" x14ac:dyDescent="0.35">
      <c r="A37"/>
      <c r="B37"/>
      <c r="C37"/>
      <c r="D37"/>
      <c r="E37"/>
      <c r="F37"/>
      <c r="G37"/>
      <c r="H37" s="23"/>
      <c r="I37" s="23"/>
      <c r="J37"/>
      <c r="K37"/>
      <c r="L37"/>
      <c r="M37"/>
      <c r="N37"/>
      <c r="O37"/>
      <c r="P37"/>
      <c r="Q37" s="1"/>
      <c r="R37" s="32"/>
      <c r="S37" s="4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32"/>
      <c r="AK37" s="16"/>
      <c r="AL37" s="16"/>
      <c r="AM37" s="16"/>
      <c r="AN37" s="32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32"/>
      <c r="AZ37" s="16"/>
      <c r="BA37" s="16"/>
      <c r="BB37" s="16"/>
      <c r="BC37" s="32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16"/>
      <c r="GB37" s="16"/>
      <c r="GC37" s="16"/>
      <c r="GD37" s="16"/>
      <c r="GE37" s="16"/>
      <c r="GF37" s="16"/>
      <c r="GG37" s="16"/>
      <c r="GH37" s="51"/>
      <c r="GI37" s="51"/>
      <c r="GJ37" s="51"/>
      <c r="GK37" s="51"/>
      <c r="GL37" s="51"/>
      <c r="GM37" s="51"/>
      <c r="GN37"/>
      <c r="GO37"/>
      <c r="GP37"/>
      <c r="GQ37"/>
    </row>
    <row r="38" spans="1:199" s="12" customFormat="1" x14ac:dyDescent="0.35">
      <c r="A38"/>
      <c r="B38"/>
      <c r="C38"/>
      <c r="D38"/>
      <c r="E38"/>
      <c r="F38"/>
      <c r="G38"/>
      <c r="H38" s="23"/>
      <c r="I38" s="23"/>
      <c r="J38"/>
      <c r="K38"/>
      <c r="L38"/>
      <c r="M38"/>
      <c r="N38"/>
      <c r="O38"/>
      <c r="P38"/>
      <c r="Q38" s="1"/>
      <c r="R38" s="32"/>
      <c r="S38" s="4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32"/>
      <c r="AK38" s="16"/>
      <c r="AL38" s="16"/>
      <c r="AM38" s="16"/>
      <c r="AN38" s="32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32"/>
      <c r="AZ38" s="16"/>
      <c r="BA38" s="16"/>
      <c r="BB38" s="16"/>
      <c r="BC38" s="32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16"/>
      <c r="GB38" s="16"/>
      <c r="GC38" s="16"/>
      <c r="GD38" s="16"/>
      <c r="GE38" s="16"/>
      <c r="GF38" s="16"/>
      <c r="GG38" s="16"/>
      <c r="GH38" s="51"/>
      <c r="GI38" s="51"/>
      <c r="GJ38" s="51"/>
      <c r="GK38" s="51"/>
      <c r="GL38" s="51"/>
      <c r="GM38" s="51"/>
      <c r="GN38"/>
      <c r="GO38"/>
      <c r="GP38"/>
      <c r="GQ38"/>
    </row>
    <row r="39" spans="1:199" s="1" customFormat="1" x14ac:dyDescent="0.35">
      <c r="A39"/>
      <c r="B39"/>
      <c r="C39"/>
      <c r="D39"/>
      <c r="E39"/>
      <c r="F39"/>
      <c r="G39"/>
      <c r="H39" s="23"/>
      <c r="I39" s="23"/>
      <c r="J39"/>
      <c r="K39"/>
      <c r="L39"/>
      <c r="M39"/>
      <c r="N39"/>
      <c r="O39"/>
      <c r="P39"/>
      <c r="R39" s="32"/>
      <c r="S39" s="4"/>
      <c r="AJ39" s="32"/>
      <c r="AK39" s="16"/>
      <c r="AL39" s="16"/>
      <c r="AM39" s="16"/>
      <c r="AN39" s="32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32"/>
      <c r="AZ39" s="16"/>
      <c r="BA39" s="16"/>
      <c r="BB39" s="16"/>
      <c r="BC39" s="32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16"/>
      <c r="GB39" s="16"/>
      <c r="GC39" s="16"/>
      <c r="GD39" s="16"/>
      <c r="GE39" s="16"/>
      <c r="GF39" s="16"/>
      <c r="GG39" s="16"/>
      <c r="GH39" s="51"/>
      <c r="GI39" s="51"/>
      <c r="GJ39" s="51"/>
      <c r="GK39" s="51"/>
      <c r="GL39" s="51"/>
      <c r="GM39" s="51"/>
      <c r="GN39"/>
      <c r="GO39"/>
      <c r="GP39"/>
      <c r="GQ39"/>
    </row>
    <row r="40" spans="1:199" s="1" customFormat="1" x14ac:dyDescent="0.35">
      <c r="A40"/>
      <c r="B40"/>
      <c r="C40"/>
      <c r="D40"/>
      <c r="E40"/>
      <c r="F40"/>
      <c r="G40"/>
      <c r="H40" s="23"/>
      <c r="I40" s="23"/>
      <c r="J40"/>
      <c r="K40"/>
      <c r="L40"/>
      <c r="M40"/>
      <c r="N40"/>
      <c r="O40"/>
      <c r="P40"/>
      <c r="R40" s="32"/>
      <c r="S40" s="4"/>
      <c r="AJ40" s="32"/>
      <c r="AK40" s="16"/>
      <c r="AL40" s="16"/>
      <c r="AM40" s="16"/>
      <c r="AN40" s="32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32"/>
      <c r="AZ40" s="16"/>
      <c r="BA40" s="16"/>
      <c r="BB40" s="16"/>
      <c r="BC40" s="32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16"/>
      <c r="GB40" s="16"/>
      <c r="GC40" s="16"/>
      <c r="GD40" s="16"/>
      <c r="GE40" s="16"/>
      <c r="GF40" s="16"/>
      <c r="GG40" s="16"/>
      <c r="GH40" s="51"/>
      <c r="GI40" s="51"/>
      <c r="GJ40" s="51"/>
      <c r="GK40" s="51"/>
      <c r="GL40" s="51"/>
      <c r="GM40" s="51"/>
      <c r="GN40"/>
      <c r="GO40"/>
      <c r="GP40"/>
      <c r="GQ40"/>
    </row>
    <row r="41" spans="1:199" s="1" customFormat="1" x14ac:dyDescent="0.35">
      <c r="A41"/>
      <c r="B41"/>
      <c r="C41"/>
      <c r="D41"/>
      <c r="E41"/>
      <c r="F41"/>
      <c r="G41"/>
      <c r="H41" s="23"/>
      <c r="I41" s="23"/>
      <c r="J41"/>
      <c r="K41"/>
      <c r="L41"/>
      <c r="M41"/>
      <c r="N41"/>
      <c r="O41"/>
      <c r="P41"/>
      <c r="R41" s="32"/>
      <c r="S41" s="4"/>
      <c r="AJ41" s="32"/>
      <c r="AK41" s="16"/>
      <c r="AL41" s="16"/>
      <c r="AM41" s="16"/>
      <c r="AN41" s="32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32"/>
      <c r="AZ41" s="16"/>
      <c r="BA41" s="16"/>
      <c r="BB41" s="16"/>
      <c r="BC41" s="32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16"/>
      <c r="GB41" s="16"/>
      <c r="GC41" s="16"/>
      <c r="GD41" s="16"/>
      <c r="GE41" s="16"/>
      <c r="GF41" s="16"/>
      <c r="GG41" s="16"/>
      <c r="GH41" s="51"/>
      <c r="GI41" s="51"/>
      <c r="GJ41" s="51"/>
      <c r="GK41" s="51"/>
      <c r="GL41" s="51"/>
      <c r="GM41" s="51"/>
      <c r="GN41"/>
      <c r="GO41"/>
      <c r="GP41"/>
      <c r="GQ41"/>
    </row>
    <row r="42" spans="1:199" s="1" customFormat="1" x14ac:dyDescent="0.35">
      <c r="A42"/>
      <c r="B42"/>
      <c r="C42"/>
      <c r="D42"/>
      <c r="E42"/>
      <c r="F42"/>
      <c r="G42"/>
      <c r="H42" s="23"/>
      <c r="I42" s="23"/>
      <c r="J42"/>
      <c r="K42"/>
      <c r="L42"/>
      <c r="M42"/>
      <c r="N42"/>
      <c r="O42"/>
      <c r="P42"/>
      <c r="R42" s="32"/>
      <c r="S42" s="4"/>
      <c r="AJ42" s="32"/>
      <c r="AK42" s="16"/>
      <c r="AL42" s="16"/>
      <c r="AM42" s="16"/>
      <c r="AN42" s="32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32"/>
      <c r="AZ42" s="16"/>
      <c r="BA42" s="16"/>
      <c r="BB42" s="16"/>
      <c r="BC42" s="32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16"/>
      <c r="GB42" s="16"/>
      <c r="GC42" s="16"/>
      <c r="GD42" s="16"/>
      <c r="GE42" s="16"/>
      <c r="GF42" s="16"/>
      <c r="GG42" s="16"/>
      <c r="GH42" s="51"/>
      <c r="GI42" s="51"/>
      <c r="GJ42" s="51"/>
      <c r="GK42" s="51"/>
      <c r="GL42" s="51"/>
      <c r="GM42" s="51"/>
      <c r="GN42"/>
      <c r="GO42"/>
      <c r="GP42"/>
      <c r="GQ42"/>
    </row>
    <row r="43" spans="1:199" s="1" customFormat="1" x14ac:dyDescent="0.35">
      <c r="A43"/>
      <c r="B43"/>
      <c r="C43"/>
      <c r="D43"/>
      <c r="E43"/>
      <c r="F43"/>
      <c r="G43"/>
      <c r="H43" s="23"/>
      <c r="I43" s="23"/>
      <c r="J43"/>
      <c r="K43"/>
      <c r="L43"/>
      <c r="M43"/>
      <c r="N43"/>
      <c r="O43"/>
      <c r="P43"/>
      <c r="R43" s="32"/>
      <c r="S43" s="4"/>
      <c r="AJ43" s="32"/>
      <c r="AK43" s="16"/>
      <c r="AL43" s="16"/>
      <c r="AM43" s="16"/>
      <c r="AN43" s="32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32"/>
      <c r="AZ43" s="16"/>
      <c r="BA43" s="16"/>
      <c r="BB43" s="16"/>
      <c r="BC43" s="32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16"/>
      <c r="GB43" s="16"/>
      <c r="GC43" s="16"/>
      <c r="GD43" s="16"/>
      <c r="GE43" s="16"/>
      <c r="GF43" s="16"/>
      <c r="GG43" s="16"/>
      <c r="GH43" s="51"/>
      <c r="GI43" s="51"/>
      <c r="GJ43" s="51"/>
      <c r="GK43" s="51"/>
      <c r="GL43" s="51"/>
      <c r="GM43" s="51"/>
      <c r="GN43"/>
      <c r="GO43"/>
      <c r="GP43"/>
      <c r="GQ43"/>
    </row>
    <row r="44" spans="1:199" s="1" customFormat="1" x14ac:dyDescent="0.35">
      <c r="A44"/>
      <c r="B44"/>
      <c r="C44"/>
      <c r="D44"/>
      <c r="E44"/>
      <c r="F44"/>
      <c r="G44"/>
      <c r="H44" s="23"/>
      <c r="I44" s="23"/>
      <c r="J44"/>
      <c r="K44"/>
      <c r="L44"/>
      <c r="M44"/>
      <c r="N44"/>
      <c r="O44"/>
      <c r="P44"/>
      <c r="R44" s="32"/>
      <c r="S44" s="4"/>
      <c r="AJ44" s="32"/>
      <c r="AK44" s="16"/>
      <c r="AL44" s="16"/>
      <c r="AM44" s="16"/>
      <c r="AN44" s="32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32"/>
      <c r="AZ44" s="16"/>
      <c r="BA44" s="16"/>
      <c r="BB44" s="16"/>
      <c r="BC44" s="32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16"/>
      <c r="GB44" s="16"/>
      <c r="GC44" s="16"/>
      <c r="GD44" s="16"/>
      <c r="GE44" s="16"/>
      <c r="GF44" s="16"/>
      <c r="GG44" s="16"/>
      <c r="GH44" s="51"/>
      <c r="GI44" s="51"/>
      <c r="GJ44" s="51"/>
      <c r="GK44" s="51"/>
      <c r="GL44" s="51"/>
      <c r="GM44" s="51"/>
      <c r="GN44"/>
      <c r="GO44"/>
      <c r="GP44"/>
      <c r="GQ44"/>
    </row>
    <row r="45" spans="1:199" s="1" customFormat="1" x14ac:dyDescent="0.35">
      <c r="A45"/>
      <c r="B45"/>
      <c r="C45"/>
      <c r="D45"/>
      <c r="E45"/>
      <c r="F45"/>
      <c r="G45"/>
      <c r="H45" s="23"/>
      <c r="I45" s="23"/>
      <c r="J45"/>
      <c r="K45"/>
      <c r="L45"/>
      <c r="M45"/>
      <c r="N45"/>
      <c r="O45"/>
      <c r="P45"/>
      <c r="R45" s="32"/>
      <c r="S45" s="4"/>
      <c r="AJ45" s="32"/>
      <c r="AK45" s="16"/>
      <c r="AL45" s="16"/>
      <c r="AM45" s="16"/>
      <c r="AN45" s="32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32"/>
      <c r="AZ45" s="16"/>
      <c r="BA45" s="16"/>
      <c r="BB45" s="16"/>
      <c r="BC45" s="32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16"/>
      <c r="GB45" s="16"/>
      <c r="GC45" s="16"/>
      <c r="GD45" s="16"/>
      <c r="GE45" s="16"/>
      <c r="GF45" s="16"/>
      <c r="GG45" s="16"/>
      <c r="GH45" s="51"/>
      <c r="GI45" s="51"/>
      <c r="GJ45" s="51"/>
      <c r="GK45" s="51"/>
      <c r="GL45" s="51"/>
      <c r="GM45" s="51"/>
      <c r="GN45"/>
      <c r="GO45"/>
      <c r="GP45"/>
      <c r="GQ45"/>
    </row>
    <row r="46" spans="1:199" s="1" customFormat="1" x14ac:dyDescent="0.35">
      <c r="A46"/>
      <c r="B46"/>
      <c r="C46"/>
      <c r="D46"/>
      <c r="E46"/>
      <c r="F46"/>
      <c r="G46"/>
      <c r="H46" s="23"/>
      <c r="I46" s="23"/>
      <c r="J46"/>
      <c r="K46"/>
      <c r="L46"/>
      <c r="M46"/>
      <c r="N46"/>
      <c r="O46"/>
      <c r="P46"/>
      <c r="R46" s="32"/>
      <c r="S46" s="4"/>
      <c r="AJ46" s="32"/>
      <c r="AK46" s="16"/>
      <c r="AL46" s="16"/>
      <c r="AM46" s="16"/>
      <c r="AN46" s="32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32"/>
      <c r="AZ46" s="16"/>
      <c r="BA46" s="16"/>
      <c r="BB46" s="16"/>
      <c r="BC46" s="32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16"/>
      <c r="GB46" s="16"/>
      <c r="GC46" s="16"/>
      <c r="GD46" s="16"/>
      <c r="GE46" s="16"/>
      <c r="GF46" s="16"/>
      <c r="GG46" s="16"/>
      <c r="GH46" s="51"/>
      <c r="GI46" s="51"/>
      <c r="GJ46" s="51"/>
      <c r="GK46" s="51"/>
      <c r="GL46" s="51"/>
      <c r="GM46" s="51"/>
      <c r="GN46"/>
      <c r="GO46"/>
      <c r="GP46"/>
      <c r="GQ46"/>
    </row>
    <row r="47" spans="1:199" s="1" customFormat="1" x14ac:dyDescent="0.35">
      <c r="A47"/>
      <c r="B47"/>
      <c r="C47"/>
      <c r="D47"/>
      <c r="E47"/>
      <c r="F47"/>
      <c r="G47"/>
      <c r="H47" s="23"/>
      <c r="I47" s="23"/>
      <c r="J47"/>
      <c r="K47"/>
      <c r="L47"/>
      <c r="M47"/>
      <c r="N47"/>
      <c r="O47"/>
      <c r="P47"/>
      <c r="R47" s="32"/>
      <c r="S47" s="4"/>
      <c r="AJ47" s="32"/>
      <c r="AK47" s="16"/>
      <c r="AL47" s="16"/>
      <c r="AM47" s="16"/>
      <c r="AN47" s="32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32"/>
      <c r="AZ47" s="16"/>
      <c r="BA47" s="16"/>
      <c r="BB47" s="16"/>
      <c r="BC47" s="32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16"/>
      <c r="GB47" s="16"/>
      <c r="GC47" s="16"/>
      <c r="GD47" s="16"/>
      <c r="GE47" s="16"/>
      <c r="GF47" s="16"/>
      <c r="GG47" s="16"/>
      <c r="GH47" s="51"/>
      <c r="GI47" s="51"/>
      <c r="GJ47" s="51"/>
      <c r="GK47" s="51"/>
      <c r="GL47" s="51"/>
      <c r="GM47" s="51"/>
      <c r="GN47"/>
      <c r="GO47"/>
      <c r="GP47"/>
      <c r="GQ47"/>
    </row>
    <row r="48" spans="1:199" s="1" customFormat="1" x14ac:dyDescent="0.35">
      <c r="A48"/>
      <c r="B48"/>
      <c r="C48"/>
      <c r="D48"/>
      <c r="E48"/>
      <c r="F48"/>
      <c r="G48"/>
      <c r="H48" s="23"/>
      <c r="I48" s="23"/>
      <c r="J48"/>
      <c r="K48"/>
      <c r="L48"/>
      <c r="M48"/>
      <c r="N48"/>
      <c r="O48"/>
      <c r="P48"/>
      <c r="R48" s="32"/>
      <c r="S48" s="4"/>
      <c r="AJ48" s="32"/>
      <c r="AK48" s="16"/>
      <c r="AL48" s="16"/>
      <c r="AM48" s="16"/>
      <c r="AN48" s="32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32"/>
      <c r="AZ48" s="16"/>
      <c r="BA48" s="16"/>
      <c r="BB48" s="16"/>
      <c r="BC48" s="32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16"/>
      <c r="GB48" s="16"/>
      <c r="GC48" s="16"/>
      <c r="GD48" s="16"/>
      <c r="GE48" s="16"/>
      <c r="GF48" s="16"/>
      <c r="GG48" s="16"/>
      <c r="GH48" s="51"/>
      <c r="GI48" s="51"/>
      <c r="GJ48" s="51"/>
      <c r="GK48" s="51"/>
      <c r="GL48" s="51"/>
      <c r="GM48" s="51"/>
      <c r="GN48"/>
      <c r="GO48"/>
      <c r="GP48"/>
      <c r="GQ48"/>
    </row>
    <row r="49" spans="1:199" s="1" customFormat="1" x14ac:dyDescent="0.35">
      <c r="A49"/>
      <c r="B49"/>
      <c r="C49"/>
      <c r="D49"/>
      <c r="E49"/>
      <c r="F49"/>
      <c r="G49"/>
      <c r="H49" s="23"/>
      <c r="I49" s="23"/>
      <c r="J49"/>
      <c r="K49"/>
      <c r="L49"/>
      <c r="M49"/>
      <c r="N49"/>
      <c r="O49"/>
      <c r="P49"/>
      <c r="R49" s="32"/>
      <c r="S49" s="4"/>
      <c r="AJ49" s="32"/>
      <c r="AK49" s="16"/>
      <c r="AL49" s="16"/>
      <c r="AM49" s="16"/>
      <c r="AN49" s="32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32"/>
      <c r="AZ49" s="16"/>
      <c r="BA49" s="16"/>
      <c r="BB49" s="16"/>
      <c r="BC49" s="32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16"/>
      <c r="GB49" s="16"/>
      <c r="GC49" s="16"/>
      <c r="GD49" s="16"/>
      <c r="GE49" s="16"/>
      <c r="GF49" s="16"/>
      <c r="GG49" s="16"/>
      <c r="GH49" s="51"/>
      <c r="GI49" s="51"/>
      <c r="GJ49" s="51"/>
      <c r="GK49" s="51"/>
      <c r="GL49" s="51"/>
      <c r="GM49" s="51"/>
      <c r="GN49"/>
      <c r="GO49"/>
      <c r="GP49"/>
      <c r="GQ49"/>
    </row>
    <row r="50" spans="1:199" s="1" customFormat="1" x14ac:dyDescent="0.35">
      <c r="A50"/>
      <c r="B50"/>
      <c r="C50"/>
      <c r="D50"/>
      <c r="E50"/>
      <c r="F50"/>
      <c r="G50"/>
      <c r="H50" s="23"/>
      <c r="I50" s="23"/>
      <c r="J50"/>
      <c r="K50"/>
      <c r="L50"/>
      <c r="M50"/>
      <c r="N50"/>
      <c r="O50"/>
      <c r="P50"/>
      <c r="R50" s="32"/>
      <c r="S50" s="4"/>
      <c r="AJ50" s="32"/>
      <c r="AK50" s="16"/>
      <c r="AL50" s="16"/>
      <c r="AM50" s="16"/>
      <c r="AN50" s="32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32"/>
      <c r="AZ50" s="16"/>
      <c r="BA50" s="16"/>
      <c r="BB50" s="16"/>
      <c r="BC50" s="32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16"/>
      <c r="GB50" s="16"/>
      <c r="GC50" s="16"/>
      <c r="GD50" s="16"/>
      <c r="GE50" s="16"/>
      <c r="GF50" s="16"/>
      <c r="GG50" s="16"/>
      <c r="GH50" s="51"/>
      <c r="GI50" s="51"/>
      <c r="GJ50" s="51"/>
      <c r="GK50" s="51"/>
      <c r="GL50" s="51"/>
      <c r="GM50" s="51"/>
      <c r="GN50"/>
      <c r="GO50"/>
      <c r="GP50"/>
      <c r="GQ50"/>
    </row>
    <row r="51" spans="1:199" s="1" customFormat="1" x14ac:dyDescent="0.35">
      <c r="A51"/>
      <c r="B51"/>
      <c r="C51"/>
      <c r="D51"/>
      <c r="E51"/>
      <c r="F51"/>
      <c r="G51"/>
      <c r="H51" s="23"/>
      <c r="I51" s="23"/>
      <c r="J51"/>
      <c r="K51"/>
      <c r="L51"/>
      <c r="M51"/>
      <c r="N51"/>
      <c r="O51"/>
      <c r="P51"/>
      <c r="R51" s="32"/>
      <c r="S51" s="4"/>
      <c r="AJ51" s="32"/>
      <c r="AK51" s="16"/>
      <c r="AL51" s="16"/>
      <c r="AM51" s="16"/>
      <c r="AN51" s="32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32"/>
      <c r="AZ51" s="16"/>
      <c r="BA51" s="16"/>
      <c r="BB51" s="16"/>
      <c r="BC51" s="32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16"/>
      <c r="GB51" s="16"/>
      <c r="GC51" s="16"/>
      <c r="GD51" s="16"/>
      <c r="GE51" s="16"/>
      <c r="GF51" s="16"/>
      <c r="GG51" s="16"/>
      <c r="GH51" s="51"/>
      <c r="GI51" s="51"/>
      <c r="GJ51" s="51"/>
      <c r="GK51" s="51"/>
      <c r="GL51" s="51"/>
      <c r="GM51" s="51"/>
      <c r="GN51"/>
      <c r="GO51"/>
      <c r="GP51"/>
      <c r="GQ51"/>
    </row>
    <row r="52" spans="1:199" s="1" customFormat="1" x14ac:dyDescent="0.35">
      <c r="A52"/>
      <c r="B52"/>
      <c r="C52"/>
      <c r="D52"/>
      <c r="E52"/>
      <c r="F52"/>
      <c r="G52"/>
      <c r="H52" s="23"/>
      <c r="I52" s="23"/>
      <c r="J52"/>
      <c r="K52"/>
      <c r="L52"/>
      <c r="M52"/>
      <c r="N52"/>
      <c r="O52"/>
      <c r="P52"/>
      <c r="R52" s="32"/>
      <c r="S52" s="4"/>
      <c r="AJ52" s="32"/>
      <c r="AK52" s="16"/>
      <c r="AL52" s="16"/>
      <c r="AM52" s="16"/>
      <c r="AN52" s="32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32"/>
      <c r="AZ52" s="16"/>
      <c r="BA52" s="16"/>
      <c r="BB52" s="16"/>
      <c r="BC52" s="32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16"/>
      <c r="GB52" s="16"/>
      <c r="GC52" s="16"/>
      <c r="GD52" s="16"/>
      <c r="GE52" s="16"/>
      <c r="GF52" s="16"/>
      <c r="GG52" s="16"/>
      <c r="GH52" s="51"/>
      <c r="GI52" s="51"/>
      <c r="GJ52" s="51"/>
      <c r="GK52" s="51"/>
      <c r="GL52" s="51"/>
      <c r="GM52" s="51"/>
      <c r="GN52"/>
      <c r="GO52"/>
      <c r="GP52"/>
      <c r="GQ52"/>
    </row>
    <row r="53" spans="1:199" s="1" customFormat="1" x14ac:dyDescent="0.35">
      <c r="A53"/>
      <c r="B53"/>
      <c r="C53"/>
      <c r="D53"/>
      <c r="E53"/>
      <c r="F53"/>
      <c r="G53"/>
      <c r="H53" s="23"/>
      <c r="I53" s="23"/>
      <c r="J53"/>
      <c r="K53"/>
      <c r="L53"/>
      <c r="M53"/>
      <c r="N53"/>
      <c r="O53"/>
      <c r="P53"/>
      <c r="R53" s="32"/>
      <c r="S53" s="4"/>
      <c r="AJ53" s="32"/>
      <c r="AK53" s="16"/>
      <c r="AL53" s="16"/>
      <c r="AM53" s="16"/>
      <c r="AN53" s="32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32"/>
      <c r="AZ53" s="16"/>
      <c r="BA53" s="16"/>
      <c r="BB53" s="16"/>
      <c r="BC53" s="32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16"/>
      <c r="GB53" s="16"/>
      <c r="GC53" s="16"/>
      <c r="GD53" s="16"/>
      <c r="GE53" s="16"/>
      <c r="GF53" s="16"/>
      <c r="GG53" s="16"/>
      <c r="GH53" s="51"/>
      <c r="GI53" s="51"/>
      <c r="GJ53" s="51"/>
      <c r="GK53" s="51"/>
      <c r="GL53" s="51"/>
      <c r="GM53" s="51"/>
      <c r="GN53"/>
      <c r="GO53"/>
      <c r="GP53"/>
      <c r="GQ53"/>
    </row>
    <row r="54" spans="1:199" s="1" customFormat="1" x14ac:dyDescent="0.35">
      <c r="A54"/>
      <c r="B54"/>
      <c r="C54"/>
      <c r="D54"/>
      <c r="E54"/>
      <c r="F54"/>
      <c r="G54"/>
      <c r="H54" s="23"/>
      <c r="I54" s="23"/>
      <c r="J54"/>
      <c r="K54"/>
      <c r="L54"/>
      <c r="M54"/>
      <c r="N54"/>
      <c r="O54"/>
      <c r="P54"/>
      <c r="R54" s="32"/>
      <c r="S54" s="4"/>
      <c r="AJ54" s="32"/>
      <c r="AK54" s="16"/>
      <c r="AL54" s="16"/>
      <c r="AM54" s="16"/>
      <c r="AN54" s="32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32"/>
      <c r="AZ54" s="16"/>
      <c r="BA54" s="16"/>
      <c r="BB54" s="16"/>
      <c r="BC54" s="32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56"/>
      <c r="CU54" s="56"/>
      <c r="CV54" s="56"/>
      <c r="CW54" s="56"/>
      <c r="CX54" s="56"/>
      <c r="CY54" s="56"/>
      <c r="CZ54" s="56"/>
      <c r="DA54" s="56"/>
      <c r="DB54" s="56"/>
      <c r="DC54" s="56"/>
      <c r="DD54" s="56"/>
      <c r="DE54" s="56"/>
      <c r="DF54" s="56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16"/>
      <c r="GB54" s="16"/>
      <c r="GC54" s="16"/>
      <c r="GD54" s="16"/>
      <c r="GE54" s="16"/>
      <c r="GF54" s="16"/>
      <c r="GG54" s="16"/>
      <c r="GH54" s="51"/>
      <c r="GI54" s="51"/>
      <c r="GJ54" s="51"/>
      <c r="GK54" s="51"/>
      <c r="GL54" s="51"/>
      <c r="GM54" s="51"/>
      <c r="GN54"/>
      <c r="GO54"/>
      <c r="GP54"/>
      <c r="GQ54"/>
    </row>
    <row r="55" spans="1:199" s="1" customFormat="1" x14ac:dyDescent="0.35">
      <c r="A55"/>
      <c r="B55"/>
      <c r="C55"/>
      <c r="D55"/>
      <c r="E55"/>
      <c r="F55"/>
      <c r="G55"/>
      <c r="H55" s="23"/>
      <c r="I55" s="23"/>
      <c r="J55"/>
      <c r="K55"/>
      <c r="L55"/>
      <c r="M55"/>
      <c r="N55"/>
      <c r="O55"/>
      <c r="P55"/>
      <c r="R55" s="32"/>
      <c r="S55" s="4"/>
      <c r="AJ55" s="32"/>
      <c r="AK55" s="16"/>
      <c r="AL55" s="16"/>
      <c r="AM55" s="16"/>
      <c r="AN55" s="32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32"/>
      <c r="AZ55" s="16"/>
      <c r="BA55" s="16"/>
      <c r="BB55" s="16"/>
      <c r="BC55" s="32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16"/>
      <c r="GB55" s="16"/>
      <c r="GC55" s="16"/>
      <c r="GD55" s="16"/>
      <c r="GE55" s="16"/>
      <c r="GF55" s="16"/>
      <c r="GG55" s="16"/>
      <c r="GH55" s="51"/>
      <c r="GI55" s="51"/>
      <c r="GJ55" s="51"/>
      <c r="GK55" s="51"/>
      <c r="GL55" s="51"/>
      <c r="GM55" s="51"/>
      <c r="GN55"/>
      <c r="GO55"/>
      <c r="GP55"/>
      <c r="GQ55"/>
    </row>
    <row r="56" spans="1:199" s="1" customFormat="1" x14ac:dyDescent="0.35">
      <c r="A56"/>
      <c r="B56"/>
      <c r="C56"/>
      <c r="D56"/>
      <c r="E56"/>
      <c r="F56"/>
      <c r="G56"/>
      <c r="H56" s="23"/>
      <c r="I56" s="23"/>
      <c r="J56"/>
      <c r="K56"/>
      <c r="L56"/>
      <c r="M56"/>
      <c r="N56"/>
      <c r="O56"/>
      <c r="P56"/>
      <c r="R56" s="32"/>
      <c r="S56" s="4"/>
      <c r="AJ56" s="32"/>
      <c r="AK56" s="16"/>
      <c r="AL56" s="16"/>
      <c r="AM56" s="16"/>
      <c r="AN56" s="32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32"/>
      <c r="AZ56" s="16"/>
      <c r="BA56" s="16"/>
      <c r="BB56" s="16"/>
      <c r="BC56" s="32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56"/>
      <c r="CU56" s="56"/>
      <c r="CV56" s="56"/>
      <c r="CW56" s="56"/>
      <c r="CX56" s="56"/>
      <c r="CY56" s="56"/>
      <c r="CZ56" s="56"/>
      <c r="DA56" s="56"/>
      <c r="DB56" s="56"/>
      <c r="DC56" s="56"/>
      <c r="DD56" s="56"/>
      <c r="DE56" s="56"/>
      <c r="DF56" s="56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16"/>
      <c r="GB56" s="16"/>
      <c r="GC56" s="16"/>
      <c r="GD56" s="16"/>
      <c r="GE56" s="16"/>
      <c r="GF56" s="16"/>
      <c r="GG56" s="16"/>
      <c r="GH56" s="51"/>
      <c r="GI56" s="51"/>
      <c r="GJ56" s="51"/>
      <c r="GK56" s="51"/>
      <c r="GL56" s="51"/>
      <c r="GM56" s="51"/>
      <c r="GN56"/>
      <c r="GO56"/>
      <c r="GP56"/>
      <c r="GQ56"/>
    </row>
    <row r="57" spans="1:199" s="1" customFormat="1" x14ac:dyDescent="0.35">
      <c r="A57"/>
      <c r="B57"/>
      <c r="C57"/>
      <c r="D57"/>
      <c r="E57"/>
      <c r="F57"/>
      <c r="G57"/>
      <c r="H57" s="23"/>
      <c r="I57" s="23"/>
      <c r="J57"/>
      <c r="K57"/>
      <c r="L57"/>
      <c r="M57"/>
      <c r="N57"/>
      <c r="O57"/>
      <c r="P57"/>
      <c r="R57" s="32"/>
      <c r="S57" s="4"/>
      <c r="AJ57" s="32"/>
      <c r="AK57" s="16"/>
      <c r="AL57" s="16"/>
      <c r="AM57" s="16"/>
      <c r="AN57" s="32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32"/>
      <c r="AZ57" s="16"/>
      <c r="BA57" s="16"/>
      <c r="BB57" s="16"/>
      <c r="BC57" s="32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56"/>
      <c r="CU57" s="56"/>
      <c r="CV57" s="56"/>
      <c r="CW57" s="56"/>
      <c r="CX57" s="56"/>
      <c r="CY57" s="56"/>
      <c r="CZ57" s="56"/>
      <c r="DA57" s="56"/>
      <c r="DB57" s="56"/>
      <c r="DC57" s="56"/>
      <c r="DD57" s="56"/>
      <c r="DE57" s="56"/>
      <c r="DF57" s="56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16"/>
      <c r="GB57" s="16"/>
      <c r="GC57" s="16"/>
      <c r="GD57" s="16"/>
      <c r="GE57" s="16"/>
      <c r="GF57" s="16"/>
      <c r="GG57" s="16"/>
      <c r="GH57" s="51"/>
      <c r="GI57" s="51"/>
      <c r="GJ57" s="51"/>
      <c r="GK57" s="51"/>
      <c r="GL57" s="51"/>
      <c r="GM57" s="51"/>
      <c r="GN57"/>
      <c r="GO57"/>
      <c r="GP57"/>
      <c r="GQ57"/>
    </row>
    <row r="58" spans="1:199" s="1" customFormat="1" x14ac:dyDescent="0.35">
      <c r="A58"/>
      <c r="B58"/>
      <c r="C58"/>
      <c r="D58"/>
      <c r="E58"/>
      <c r="F58"/>
      <c r="G58"/>
      <c r="H58" s="23"/>
      <c r="I58" s="23"/>
      <c r="J58"/>
      <c r="K58"/>
      <c r="L58"/>
      <c r="M58"/>
      <c r="N58"/>
      <c r="O58"/>
      <c r="P58"/>
      <c r="R58" s="32"/>
      <c r="S58" s="4"/>
      <c r="AJ58" s="32"/>
      <c r="AK58" s="16"/>
      <c r="AL58" s="16"/>
      <c r="AM58" s="16"/>
      <c r="AN58" s="32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32"/>
      <c r="AZ58" s="16"/>
      <c r="BA58" s="16"/>
      <c r="BB58" s="16"/>
      <c r="BC58" s="32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56"/>
      <c r="CU58" s="56"/>
      <c r="CV58" s="56"/>
      <c r="CW58" s="56"/>
      <c r="CX58" s="56"/>
      <c r="CY58" s="56"/>
      <c r="CZ58" s="56"/>
      <c r="DA58" s="56"/>
      <c r="DB58" s="56"/>
      <c r="DC58" s="56"/>
      <c r="DD58" s="56"/>
      <c r="DE58" s="56"/>
      <c r="DF58" s="56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16"/>
      <c r="GB58" s="16"/>
      <c r="GC58" s="16"/>
      <c r="GD58" s="16"/>
      <c r="GE58" s="16"/>
      <c r="GF58" s="16"/>
      <c r="GG58" s="16"/>
      <c r="GH58" s="51"/>
      <c r="GI58" s="51"/>
      <c r="GJ58" s="51"/>
      <c r="GK58" s="51"/>
      <c r="GL58" s="51"/>
      <c r="GM58" s="51"/>
      <c r="GN58"/>
      <c r="GO58"/>
      <c r="GP58"/>
      <c r="GQ58"/>
    </row>
    <row r="59" spans="1:199" s="1" customFormat="1" x14ac:dyDescent="0.35">
      <c r="A59"/>
      <c r="B59"/>
      <c r="C59"/>
      <c r="D59"/>
      <c r="E59"/>
      <c r="F59"/>
      <c r="G59"/>
      <c r="H59" s="23"/>
      <c r="I59" s="23"/>
      <c r="J59"/>
      <c r="K59"/>
      <c r="L59"/>
      <c r="M59"/>
      <c r="N59"/>
      <c r="O59"/>
      <c r="P59"/>
      <c r="R59" s="32"/>
      <c r="S59" s="4"/>
      <c r="AJ59" s="32"/>
      <c r="AK59" s="16"/>
      <c r="AL59" s="16"/>
      <c r="AM59" s="16"/>
      <c r="AN59" s="32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32"/>
      <c r="AZ59" s="16"/>
      <c r="BA59" s="16"/>
      <c r="BB59" s="16"/>
      <c r="BC59" s="32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56"/>
      <c r="CU59" s="56"/>
      <c r="CV59" s="56"/>
      <c r="CW59" s="56"/>
      <c r="CX59" s="56"/>
      <c r="CY59" s="56"/>
      <c r="CZ59" s="56"/>
      <c r="DA59" s="56"/>
      <c r="DB59" s="56"/>
      <c r="DC59" s="56"/>
      <c r="DD59" s="56"/>
      <c r="DE59" s="56"/>
      <c r="DF59" s="56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16"/>
      <c r="GB59" s="16"/>
      <c r="GC59" s="16"/>
      <c r="GD59" s="16"/>
      <c r="GE59" s="16"/>
      <c r="GF59" s="16"/>
      <c r="GG59" s="16"/>
      <c r="GH59" s="51"/>
      <c r="GI59" s="51"/>
      <c r="GJ59" s="51"/>
      <c r="GK59" s="51"/>
      <c r="GL59" s="51"/>
      <c r="GM59" s="51"/>
      <c r="GN59"/>
      <c r="GO59"/>
      <c r="GP59"/>
      <c r="GQ59"/>
    </row>
    <row r="60" spans="1:199" s="1" customFormat="1" x14ac:dyDescent="0.35">
      <c r="A60"/>
      <c r="B60"/>
      <c r="C60"/>
      <c r="D60"/>
      <c r="E60"/>
      <c r="F60"/>
      <c r="G60"/>
      <c r="H60" s="23"/>
      <c r="I60" s="23"/>
      <c r="J60"/>
      <c r="K60"/>
      <c r="L60"/>
      <c r="M60"/>
      <c r="N60"/>
      <c r="O60"/>
      <c r="P60"/>
      <c r="R60" s="32"/>
      <c r="S60" s="4"/>
      <c r="AJ60" s="32"/>
      <c r="AK60" s="16"/>
      <c r="AL60" s="16"/>
      <c r="AM60" s="16"/>
      <c r="AN60" s="32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32"/>
      <c r="AZ60" s="16"/>
      <c r="BA60" s="16"/>
      <c r="BB60" s="16"/>
      <c r="BC60" s="32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56"/>
      <c r="CU60" s="56"/>
      <c r="CV60" s="56"/>
      <c r="CW60" s="56"/>
      <c r="CX60" s="56"/>
      <c r="CY60" s="56"/>
      <c r="CZ60" s="56"/>
      <c r="DA60" s="56"/>
      <c r="DB60" s="56"/>
      <c r="DC60" s="56"/>
      <c r="DD60" s="56"/>
      <c r="DE60" s="56"/>
      <c r="DF60" s="56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  <c r="FI60" s="25"/>
      <c r="FJ60" s="25"/>
      <c r="FK60" s="25"/>
      <c r="FL60" s="25"/>
      <c r="FM60" s="25"/>
      <c r="FN60" s="25"/>
      <c r="FO60" s="25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16"/>
      <c r="GB60" s="16"/>
      <c r="GC60" s="16"/>
      <c r="GD60" s="16"/>
      <c r="GE60" s="16"/>
      <c r="GF60" s="16"/>
      <c r="GG60" s="16"/>
      <c r="GH60" s="51"/>
      <c r="GI60" s="51"/>
      <c r="GJ60" s="51"/>
      <c r="GK60" s="51"/>
      <c r="GL60" s="51"/>
      <c r="GM60" s="51"/>
      <c r="GN60"/>
      <c r="GO60"/>
      <c r="GP60"/>
      <c r="GQ60"/>
    </row>
    <row r="61" spans="1:199" s="1" customFormat="1" x14ac:dyDescent="0.35">
      <c r="A61"/>
      <c r="B61"/>
      <c r="C61"/>
      <c r="D61"/>
      <c r="E61"/>
      <c r="F61"/>
      <c r="G61"/>
      <c r="H61" s="23"/>
      <c r="I61" s="23"/>
      <c r="J61"/>
      <c r="K61"/>
      <c r="L61"/>
      <c r="M61"/>
      <c r="N61"/>
      <c r="O61"/>
      <c r="P61"/>
      <c r="R61" s="32"/>
      <c r="S61" s="4"/>
      <c r="AJ61" s="32"/>
      <c r="AK61" s="16"/>
      <c r="AL61" s="16"/>
      <c r="AM61" s="16"/>
      <c r="AN61" s="32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32"/>
      <c r="AZ61" s="16"/>
      <c r="BA61" s="16"/>
      <c r="BB61" s="16"/>
      <c r="BC61" s="32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56"/>
      <c r="CU61" s="56"/>
      <c r="CV61" s="56"/>
      <c r="CW61" s="56"/>
      <c r="CX61" s="56"/>
      <c r="CY61" s="56"/>
      <c r="CZ61" s="56"/>
      <c r="DA61" s="56"/>
      <c r="DB61" s="56"/>
      <c r="DC61" s="56"/>
      <c r="DD61" s="56"/>
      <c r="DE61" s="56"/>
      <c r="DF61" s="56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16"/>
      <c r="GB61" s="16"/>
      <c r="GC61" s="16"/>
      <c r="GD61" s="16"/>
      <c r="GE61" s="16"/>
      <c r="GF61" s="16"/>
      <c r="GG61" s="16"/>
      <c r="GH61" s="51"/>
      <c r="GI61" s="51"/>
      <c r="GJ61" s="51"/>
      <c r="GK61" s="51"/>
      <c r="GL61" s="51"/>
      <c r="GM61" s="51"/>
      <c r="GN61"/>
      <c r="GO61"/>
      <c r="GP61"/>
      <c r="GQ61"/>
    </row>
    <row r="62" spans="1:199" s="1" customFormat="1" x14ac:dyDescent="0.35">
      <c r="A62"/>
      <c r="B62"/>
      <c r="C62"/>
      <c r="D62"/>
      <c r="E62"/>
      <c r="F62"/>
      <c r="G62"/>
      <c r="H62" s="23"/>
      <c r="I62" s="23"/>
      <c r="J62"/>
      <c r="K62"/>
      <c r="L62"/>
      <c r="M62"/>
      <c r="N62"/>
      <c r="O62"/>
      <c r="P62"/>
      <c r="R62" s="32"/>
      <c r="S62" s="4"/>
      <c r="AJ62" s="32"/>
      <c r="AK62" s="16"/>
      <c r="AL62" s="16"/>
      <c r="AM62" s="16"/>
      <c r="AN62" s="32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32"/>
      <c r="AZ62" s="16"/>
      <c r="BA62" s="16"/>
      <c r="BB62" s="16"/>
      <c r="BC62" s="32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56"/>
      <c r="CU62" s="56"/>
      <c r="CV62" s="56"/>
      <c r="CW62" s="56"/>
      <c r="CX62" s="56"/>
      <c r="CY62" s="56"/>
      <c r="CZ62" s="56"/>
      <c r="DA62" s="56"/>
      <c r="DB62" s="56"/>
      <c r="DC62" s="56"/>
      <c r="DD62" s="56"/>
      <c r="DE62" s="56"/>
      <c r="DF62" s="56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16"/>
      <c r="GB62" s="16"/>
      <c r="GC62" s="16"/>
      <c r="GD62" s="16"/>
      <c r="GE62" s="16"/>
      <c r="GF62" s="16"/>
      <c r="GG62" s="16"/>
      <c r="GH62" s="51"/>
      <c r="GI62" s="51"/>
      <c r="GJ62" s="51"/>
      <c r="GK62" s="51"/>
      <c r="GL62" s="51"/>
      <c r="GM62" s="51"/>
      <c r="GN62"/>
      <c r="GO62"/>
      <c r="GP62"/>
      <c r="GQ62"/>
    </row>
    <row r="63" spans="1:199" s="1" customFormat="1" x14ac:dyDescent="0.35">
      <c r="A63"/>
      <c r="B63"/>
      <c r="C63"/>
      <c r="D63"/>
      <c r="E63"/>
      <c r="F63"/>
      <c r="G63"/>
      <c r="H63" s="23"/>
      <c r="I63" s="23"/>
      <c r="J63"/>
      <c r="K63"/>
      <c r="L63"/>
      <c r="M63"/>
      <c r="N63"/>
      <c r="O63"/>
      <c r="P63"/>
      <c r="R63" s="32"/>
      <c r="S63" s="4"/>
      <c r="AJ63" s="32"/>
      <c r="AK63" s="16"/>
      <c r="AL63" s="16"/>
      <c r="AM63" s="16"/>
      <c r="AN63" s="32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32"/>
      <c r="AZ63" s="16"/>
      <c r="BA63" s="16"/>
      <c r="BB63" s="16"/>
      <c r="BC63" s="32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56"/>
      <c r="CU63" s="56"/>
      <c r="CV63" s="56"/>
      <c r="CW63" s="56"/>
      <c r="CX63" s="56"/>
      <c r="CY63" s="56"/>
      <c r="CZ63" s="56"/>
      <c r="DA63" s="56"/>
      <c r="DB63" s="56"/>
      <c r="DC63" s="56"/>
      <c r="DD63" s="56"/>
      <c r="DE63" s="56"/>
      <c r="DF63" s="56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16"/>
      <c r="GB63" s="16"/>
      <c r="GC63" s="16"/>
      <c r="GD63" s="16"/>
      <c r="GE63" s="16"/>
      <c r="GF63" s="16"/>
      <c r="GG63" s="16"/>
      <c r="GH63" s="51"/>
      <c r="GI63" s="51"/>
      <c r="GJ63" s="51"/>
      <c r="GK63" s="51"/>
      <c r="GL63" s="51"/>
      <c r="GM63" s="51"/>
      <c r="GN63"/>
      <c r="GO63"/>
      <c r="GP63"/>
      <c r="GQ63"/>
    </row>
    <row r="64" spans="1:199" s="1" customFormat="1" x14ac:dyDescent="0.35">
      <c r="A64"/>
      <c r="B64"/>
      <c r="C64"/>
      <c r="D64"/>
      <c r="E64"/>
      <c r="F64"/>
      <c r="G64"/>
      <c r="H64" s="23"/>
      <c r="I64" s="23"/>
      <c r="J64"/>
      <c r="K64"/>
      <c r="L64"/>
      <c r="M64"/>
      <c r="N64"/>
      <c r="O64"/>
      <c r="P64"/>
      <c r="R64" s="32"/>
      <c r="S64" s="4"/>
      <c r="AJ64" s="32"/>
      <c r="AK64" s="16"/>
      <c r="AL64" s="16"/>
      <c r="AM64" s="16"/>
      <c r="AN64" s="32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32"/>
      <c r="AZ64" s="16"/>
      <c r="BA64" s="16"/>
      <c r="BB64" s="16"/>
      <c r="BC64" s="32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56"/>
      <c r="CU64" s="56"/>
      <c r="CV64" s="56"/>
      <c r="CW64" s="56"/>
      <c r="CX64" s="56"/>
      <c r="CY64" s="56"/>
      <c r="CZ64" s="56"/>
      <c r="DA64" s="56"/>
      <c r="DB64" s="56"/>
      <c r="DC64" s="56"/>
      <c r="DD64" s="56"/>
      <c r="DE64" s="56"/>
      <c r="DF64" s="56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16"/>
      <c r="GB64" s="16"/>
      <c r="GC64" s="16"/>
      <c r="GD64" s="16"/>
      <c r="GE64" s="16"/>
      <c r="GF64" s="16"/>
      <c r="GG64" s="16"/>
      <c r="GH64" s="51"/>
      <c r="GI64" s="51"/>
      <c r="GJ64" s="51"/>
      <c r="GK64" s="51"/>
      <c r="GL64" s="51"/>
      <c r="GM64" s="51"/>
      <c r="GN64"/>
      <c r="GO64"/>
      <c r="GP64"/>
      <c r="GQ64"/>
    </row>
    <row r="65" spans="1:199" s="1" customForma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R65" s="32"/>
      <c r="S65" s="4"/>
      <c r="AJ65" s="32"/>
      <c r="AK65" s="16"/>
      <c r="AL65" s="16"/>
      <c r="AM65" s="16"/>
      <c r="AN65" s="32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32"/>
      <c r="AZ65" s="16"/>
      <c r="BA65" s="16"/>
      <c r="BB65" s="16"/>
      <c r="BC65" s="32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56"/>
      <c r="CU65" s="56"/>
      <c r="CV65" s="56"/>
      <c r="CW65" s="56"/>
      <c r="CX65" s="56"/>
      <c r="CY65" s="56"/>
      <c r="CZ65" s="56"/>
      <c r="DA65" s="56"/>
      <c r="DB65" s="56"/>
      <c r="DC65" s="56"/>
      <c r="DD65" s="56"/>
      <c r="DE65" s="56"/>
      <c r="DF65" s="56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16"/>
      <c r="GB65" s="16"/>
      <c r="GC65" s="16"/>
      <c r="GD65" s="16"/>
      <c r="GE65" s="16"/>
      <c r="GF65" s="16"/>
      <c r="GG65" s="16"/>
      <c r="GH65" s="51"/>
      <c r="GI65" s="51"/>
      <c r="GJ65" s="51"/>
      <c r="GK65" s="51"/>
      <c r="GL65" s="51"/>
      <c r="GM65" s="51"/>
      <c r="GN65"/>
      <c r="GO65"/>
      <c r="GP65"/>
      <c r="GQ65"/>
    </row>
    <row r="66" spans="1:199" s="1" customForma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R66" s="32"/>
      <c r="S66" s="4"/>
      <c r="AJ66" s="32"/>
      <c r="AK66" s="16"/>
      <c r="AL66" s="16"/>
      <c r="AM66" s="16"/>
      <c r="AN66" s="32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32"/>
      <c r="AZ66" s="16"/>
      <c r="BA66" s="16"/>
      <c r="BB66" s="16"/>
      <c r="BC66" s="32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56"/>
      <c r="CU66" s="56"/>
      <c r="CV66" s="56"/>
      <c r="CW66" s="56"/>
      <c r="CX66" s="56"/>
      <c r="CY66" s="56"/>
      <c r="CZ66" s="56"/>
      <c r="DA66" s="56"/>
      <c r="DB66" s="56"/>
      <c r="DC66" s="56"/>
      <c r="DD66" s="56"/>
      <c r="DE66" s="56"/>
      <c r="DF66" s="56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25"/>
      <c r="EL66" s="25"/>
      <c r="EM66" s="25"/>
      <c r="EN66" s="25"/>
      <c r="EO66" s="25"/>
      <c r="EP66" s="25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5"/>
      <c r="FB66" s="25"/>
      <c r="FC66" s="25"/>
      <c r="FD66" s="25"/>
      <c r="FE66" s="25"/>
      <c r="FF66" s="25"/>
      <c r="FG66" s="25"/>
      <c r="FH66" s="25"/>
      <c r="FI66" s="25"/>
      <c r="FJ66" s="25"/>
      <c r="FK66" s="25"/>
      <c r="FL66" s="25"/>
      <c r="FM66" s="25"/>
      <c r="FN66" s="25"/>
      <c r="FO66" s="25"/>
      <c r="FP66" s="25"/>
      <c r="FQ66" s="25"/>
      <c r="FR66" s="25"/>
      <c r="FS66" s="25"/>
      <c r="FT66" s="25"/>
      <c r="FU66" s="25"/>
      <c r="FV66" s="25"/>
      <c r="FW66" s="25"/>
      <c r="FX66" s="25"/>
      <c r="FY66" s="25"/>
      <c r="FZ66" s="25"/>
      <c r="GA66" s="16"/>
      <c r="GB66" s="16"/>
      <c r="GC66" s="16"/>
      <c r="GD66" s="16"/>
      <c r="GE66" s="16"/>
      <c r="GF66" s="16"/>
      <c r="GG66" s="16"/>
      <c r="GH66" s="51"/>
      <c r="GI66" s="51"/>
      <c r="GJ66" s="51"/>
      <c r="GK66" s="51"/>
      <c r="GL66" s="51"/>
      <c r="GM66" s="51"/>
      <c r="GN66"/>
      <c r="GO66"/>
      <c r="GP66"/>
      <c r="GQ66"/>
    </row>
    <row r="67" spans="1:199" s="1" customForma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R67" s="32"/>
      <c r="S67" s="4"/>
      <c r="AJ67" s="32"/>
      <c r="AK67" s="16"/>
      <c r="AL67" s="16"/>
      <c r="AM67" s="16"/>
      <c r="AN67" s="32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32"/>
      <c r="AZ67" s="16"/>
      <c r="BA67" s="16"/>
      <c r="BB67" s="16"/>
      <c r="BC67" s="32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56"/>
      <c r="CU67" s="56"/>
      <c r="CV67" s="56"/>
      <c r="CW67" s="56"/>
      <c r="CX67" s="56"/>
      <c r="CY67" s="56"/>
      <c r="CZ67" s="56"/>
      <c r="DA67" s="56"/>
      <c r="DB67" s="56"/>
      <c r="DC67" s="56"/>
      <c r="DD67" s="56"/>
      <c r="DE67" s="56"/>
      <c r="DF67" s="56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5"/>
      <c r="FO67" s="25"/>
      <c r="FP67" s="25"/>
      <c r="FQ67" s="25"/>
      <c r="FR67" s="25"/>
      <c r="FS67" s="25"/>
      <c r="FT67" s="25"/>
      <c r="FU67" s="25"/>
      <c r="FV67" s="25"/>
      <c r="FW67" s="25"/>
      <c r="FX67" s="25"/>
      <c r="FY67" s="25"/>
      <c r="FZ67" s="25"/>
      <c r="GA67" s="16"/>
      <c r="GB67" s="16"/>
      <c r="GC67" s="16"/>
      <c r="GD67" s="16"/>
      <c r="GE67" s="16"/>
      <c r="GF67" s="16"/>
      <c r="GG67" s="16"/>
      <c r="GH67" s="51"/>
      <c r="GI67" s="51"/>
      <c r="GJ67" s="51"/>
      <c r="GK67" s="51"/>
      <c r="GL67" s="51"/>
      <c r="GM67" s="51"/>
      <c r="GN67"/>
      <c r="GO67"/>
      <c r="GP67"/>
      <c r="GQ67"/>
    </row>
    <row r="68" spans="1:199" s="1" customForma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R68" s="32"/>
      <c r="S68" s="4"/>
      <c r="AJ68" s="32"/>
      <c r="AK68" s="16"/>
      <c r="AL68" s="16"/>
      <c r="AM68" s="16"/>
      <c r="AN68" s="32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32"/>
      <c r="AZ68" s="16"/>
      <c r="BA68" s="16"/>
      <c r="BB68" s="16"/>
      <c r="BC68" s="32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56"/>
      <c r="CU68" s="56"/>
      <c r="CV68" s="56"/>
      <c r="CW68" s="56"/>
      <c r="CX68" s="56"/>
      <c r="CY68" s="56"/>
      <c r="CZ68" s="56"/>
      <c r="DA68" s="56"/>
      <c r="DB68" s="56"/>
      <c r="DC68" s="56"/>
      <c r="DD68" s="56"/>
      <c r="DE68" s="56"/>
      <c r="DF68" s="56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25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16"/>
      <c r="GB68" s="16"/>
      <c r="GC68" s="16"/>
      <c r="GD68" s="16"/>
      <c r="GE68" s="16"/>
      <c r="GF68" s="16"/>
      <c r="GG68" s="16"/>
      <c r="GH68" s="51"/>
      <c r="GI68" s="51"/>
      <c r="GJ68" s="51"/>
      <c r="GK68" s="51"/>
      <c r="GL68" s="51"/>
      <c r="GM68" s="51"/>
      <c r="GN68"/>
      <c r="GO68"/>
      <c r="GP68"/>
      <c r="GQ68"/>
    </row>
    <row r="69" spans="1:199" s="1" customForma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R69" s="32"/>
      <c r="S69" s="4"/>
      <c r="AJ69" s="32"/>
      <c r="AK69" s="16"/>
      <c r="AL69" s="16"/>
      <c r="AM69" s="16"/>
      <c r="AN69" s="32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32"/>
      <c r="AZ69" s="16"/>
      <c r="BA69" s="16"/>
      <c r="BB69" s="16"/>
      <c r="BC69" s="32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56"/>
      <c r="CU69" s="56"/>
      <c r="CV69" s="56"/>
      <c r="CW69" s="56"/>
      <c r="CX69" s="56"/>
      <c r="CY69" s="56"/>
      <c r="CZ69" s="56"/>
      <c r="DA69" s="56"/>
      <c r="DB69" s="56"/>
      <c r="DC69" s="56"/>
      <c r="DD69" s="56"/>
      <c r="DE69" s="56"/>
      <c r="DF69" s="56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16"/>
      <c r="GB69" s="16"/>
      <c r="GC69" s="16"/>
      <c r="GD69" s="16"/>
      <c r="GE69" s="16"/>
      <c r="GF69" s="16"/>
      <c r="GG69" s="16"/>
      <c r="GH69" s="51"/>
      <c r="GI69" s="51"/>
      <c r="GJ69" s="51"/>
      <c r="GK69" s="51"/>
      <c r="GL69" s="51"/>
      <c r="GM69" s="51"/>
      <c r="GN69"/>
      <c r="GO69"/>
      <c r="GP69"/>
      <c r="GQ69"/>
    </row>
    <row r="70" spans="1:199" s="1" customForma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R70" s="32"/>
      <c r="S70" s="4"/>
      <c r="AJ70" s="32"/>
      <c r="AK70" s="16"/>
      <c r="AL70" s="16"/>
      <c r="AM70" s="16"/>
      <c r="AN70" s="32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32"/>
      <c r="AZ70" s="16"/>
      <c r="BA70" s="16"/>
      <c r="BB70" s="16"/>
      <c r="BC70" s="32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56"/>
      <c r="CU70" s="56"/>
      <c r="CV70" s="56"/>
      <c r="CW70" s="56"/>
      <c r="CX70" s="56"/>
      <c r="CY70" s="56"/>
      <c r="CZ70" s="56"/>
      <c r="DA70" s="56"/>
      <c r="DB70" s="56"/>
      <c r="DC70" s="56"/>
      <c r="DD70" s="56"/>
      <c r="DE70" s="56"/>
      <c r="DF70" s="56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16"/>
      <c r="GB70" s="16"/>
      <c r="GC70" s="16"/>
      <c r="GD70" s="16"/>
      <c r="GE70" s="16"/>
      <c r="GF70" s="16"/>
      <c r="GG70" s="16"/>
      <c r="GH70" s="51"/>
      <c r="GI70" s="51"/>
      <c r="GJ70" s="51"/>
      <c r="GK70" s="51"/>
      <c r="GL70" s="51"/>
      <c r="GM70" s="51"/>
      <c r="GN70"/>
      <c r="GO70"/>
      <c r="GP70"/>
      <c r="GQ70"/>
    </row>
    <row r="71" spans="1:199" s="1" customForma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R71" s="32"/>
      <c r="S71" s="4"/>
      <c r="AJ71" s="32"/>
      <c r="AK71" s="16"/>
      <c r="AL71" s="16"/>
      <c r="AM71" s="16"/>
      <c r="AN71" s="32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32"/>
      <c r="AZ71" s="16"/>
      <c r="BA71" s="16"/>
      <c r="BB71" s="16"/>
      <c r="BC71" s="32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56"/>
      <c r="CU71" s="56"/>
      <c r="CV71" s="56"/>
      <c r="CW71" s="56"/>
      <c r="CX71" s="56"/>
      <c r="CY71" s="56"/>
      <c r="CZ71" s="56"/>
      <c r="DA71" s="56"/>
      <c r="DB71" s="56"/>
      <c r="DC71" s="56"/>
      <c r="DD71" s="56"/>
      <c r="DE71" s="56"/>
      <c r="DF71" s="56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  <c r="FI71" s="25"/>
      <c r="FJ71" s="25"/>
      <c r="FK71" s="25"/>
      <c r="FL71" s="25"/>
      <c r="FM71" s="25"/>
      <c r="FN71" s="25"/>
      <c r="FO71" s="25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16"/>
      <c r="GB71" s="16"/>
      <c r="GC71" s="16"/>
      <c r="GD71" s="16"/>
      <c r="GE71" s="16"/>
      <c r="GF71" s="16"/>
      <c r="GG71" s="16"/>
      <c r="GH71" s="51"/>
      <c r="GI71" s="51"/>
      <c r="GJ71" s="51"/>
      <c r="GK71" s="51"/>
      <c r="GL71" s="51"/>
      <c r="GM71" s="51"/>
      <c r="GN71"/>
      <c r="GO71"/>
      <c r="GP71"/>
      <c r="GQ71"/>
    </row>
    <row r="72" spans="1:199" s="1" customForma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R72" s="32"/>
      <c r="S72" s="4"/>
      <c r="AJ72" s="32"/>
      <c r="AK72" s="16"/>
      <c r="AL72" s="16"/>
      <c r="AM72" s="16"/>
      <c r="AN72" s="32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32"/>
      <c r="AZ72" s="16"/>
      <c r="BA72" s="16"/>
      <c r="BB72" s="16"/>
      <c r="BC72" s="32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56"/>
      <c r="CU72" s="56"/>
      <c r="CV72" s="56"/>
      <c r="CW72" s="56"/>
      <c r="CX72" s="56"/>
      <c r="CY72" s="56"/>
      <c r="CZ72" s="56"/>
      <c r="DA72" s="56"/>
      <c r="DB72" s="56"/>
      <c r="DC72" s="56"/>
      <c r="DD72" s="56"/>
      <c r="DE72" s="56"/>
      <c r="DF72" s="56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16"/>
      <c r="GB72" s="16"/>
      <c r="GC72" s="16"/>
      <c r="GD72" s="16"/>
      <c r="GE72" s="16"/>
      <c r="GF72" s="16"/>
      <c r="GG72" s="16"/>
      <c r="GH72" s="51"/>
      <c r="GI72" s="51"/>
      <c r="GJ72" s="51"/>
      <c r="GK72" s="51"/>
      <c r="GL72" s="51"/>
      <c r="GM72" s="51"/>
      <c r="GN72"/>
      <c r="GO72"/>
      <c r="GP72"/>
      <c r="GQ72"/>
    </row>
    <row r="73" spans="1:199" s="1" customForma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R73" s="32"/>
      <c r="S73" s="4"/>
      <c r="AJ73" s="32"/>
      <c r="AK73" s="16"/>
      <c r="AL73" s="16"/>
      <c r="AM73" s="16"/>
      <c r="AN73" s="32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32"/>
      <c r="AZ73" s="16"/>
      <c r="BA73" s="16"/>
      <c r="BB73" s="16"/>
      <c r="BC73" s="32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56"/>
      <c r="CU73" s="56"/>
      <c r="CV73" s="56"/>
      <c r="CW73" s="56"/>
      <c r="CX73" s="56"/>
      <c r="CY73" s="56"/>
      <c r="CZ73" s="56"/>
      <c r="DA73" s="56"/>
      <c r="DB73" s="56"/>
      <c r="DC73" s="56"/>
      <c r="DD73" s="56"/>
      <c r="DE73" s="56"/>
      <c r="DF73" s="56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16"/>
      <c r="GB73" s="16"/>
      <c r="GC73" s="16"/>
      <c r="GD73" s="16"/>
      <c r="GE73" s="16"/>
      <c r="GF73" s="16"/>
      <c r="GG73" s="16"/>
      <c r="GH73" s="51"/>
      <c r="GI73" s="51"/>
      <c r="GJ73" s="51"/>
      <c r="GK73" s="51"/>
      <c r="GL73" s="51"/>
      <c r="GM73" s="51"/>
      <c r="GN73"/>
      <c r="GO73"/>
      <c r="GP73"/>
      <c r="GQ73"/>
    </row>
    <row r="74" spans="1:199" s="1" customForma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R74" s="32"/>
      <c r="S74" s="4"/>
      <c r="AJ74" s="32"/>
      <c r="AK74" s="16"/>
      <c r="AL74" s="16"/>
      <c r="AM74" s="16"/>
      <c r="AN74" s="32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32"/>
      <c r="AZ74" s="16"/>
      <c r="BA74" s="16"/>
      <c r="BB74" s="16"/>
      <c r="BC74" s="32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56"/>
      <c r="CU74" s="56"/>
      <c r="CV74" s="56"/>
      <c r="CW74" s="56"/>
      <c r="CX74" s="56"/>
      <c r="CY74" s="56"/>
      <c r="CZ74" s="56"/>
      <c r="DA74" s="56"/>
      <c r="DB74" s="56"/>
      <c r="DC74" s="56"/>
      <c r="DD74" s="56"/>
      <c r="DE74" s="56"/>
      <c r="DF74" s="56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16"/>
      <c r="GB74" s="16"/>
      <c r="GC74" s="16"/>
      <c r="GD74" s="16"/>
      <c r="GE74" s="16"/>
      <c r="GF74" s="16"/>
      <c r="GG74" s="16"/>
      <c r="GH74" s="51"/>
      <c r="GI74" s="51"/>
      <c r="GJ74" s="51"/>
      <c r="GK74" s="51"/>
      <c r="GL74" s="51"/>
      <c r="GM74" s="51"/>
      <c r="GN74"/>
      <c r="GO74"/>
      <c r="GP74"/>
      <c r="GQ74"/>
    </row>
    <row r="75" spans="1:199" s="1" customForma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R75" s="32"/>
      <c r="S75" s="4"/>
      <c r="AJ75" s="32"/>
      <c r="AK75" s="16"/>
      <c r="AL75" s="16"/>
      <c r="AM75" s="16"/>
      <c r="AN75" s="32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32"/>
      <c r="AZ75" s="16"/>
      <c r="BA75" s="16"/>
      <c r="BB75" s="16"/>
      <c r="BC75" s="32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56"/>
      <c r="CU75" s="56"/>
      <c r="CV75" s="56"/>
      <c r="CW75" s="56"/>
      <c r="CX75" s="56"/>
      <c r="CY75" s="56"/>
      <c r="CZ75" s="56"/>
      <c r="DA75" s="56"/>
      <c r="DB75" s="56"/>
      <c r="DC75" s="56"/>
      <c r="DD75" s="56"/>
      <c r="DE75" s="56"/>
      <c r="DF75" s="56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16"/>
      <c r="GB75" s="16"/>
      <c r="GC75" s="16"/>
      <c r="GD75" s="16"/>
      <c r="GE75" s="16"/>
      <c r="GF75" s="16"/>
      <c r="GG75" s="16"/>
      <c r="GH75" s="51"/>
      <c r="GI75" s="51"/>
      <c r="GJ75" s="51"/>
      <c r="GK75" s="51"/>
      <c r="GL75" s="51"/>
      <c r="GM75" s="51"/>
      <c r="GN75"/>
      <c r="GO75"/>
      <c r="GP75"/>
      <c r="GQ75"/>
    </row>
    <row r="76" spans="1:199" s="1" customForma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R76" s="32"/>
      <c r="S76" s="4"/>
      <c r="AJ76" s="32"/>
      <c r="AK76" s="16"/>
      <c r="AL76" s="16"/>
      <c r="AM76" s="16"/>
      <c r="AN76" s="32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32"/>
      <c r="AZ76" s="16"/>
      <c r="BA76" s="16"/>
      <c r="BB76" s="16"/>
      <c r="BC76" s="32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56"/>
      <c r="CU76" s="56"/>
      <c r="CV76" s="56"/>
      <c r="CW76" s="56"/>
      <c r="CX76" s="56"/>
      <c r="CY76" s="56"/>
      <c r="CZ76" s="56"/>
      <c r="DA76" s="56"/>
      <c r="DB76" s="56"/>
      <c r="DC76" s="56"/>
      <c r="DD76" s="56"/>
      <c r="DE76" s="56"/>
      <c r="DF76" s="56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16"/>
      <c r="GB76" s="16"/>
      <c r="GC76" s="16"/>
      <c r="GD76" s="16"/>
      <c r="GE76" s="16"/>
      <c r="GF76" s="16"/>
      <c r="GG76" s="16"/>
      <c r="GH76" s="51"/>
      <c r="GI76" s="51"/>
      <c r="GJ76" s="51"/>
      <c r="GK76" s="51"/>
      <c r="GL76" s="51"/>
      <c r="GM76" s="51"/>
      <c r="GN76"/>
      <c r="GO76"/>
      <c r="GP76"/>
      <c r="GQ76"/>
    </row>
    <row r="77" spans="1:199" s="1" customForma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R77" s="32"/>
      <c r="S77" s="4"/>
      <c r="AJ77" s="32"/>
      <c r="AK77" s="16"/>
      <c r="AL77" s="16"/>
      <c r="AM77" s="16"/>
      <c r="AN77" s="32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32"/>
      <c r="AZ77" s="16"/>
      <c r="BA77" s="16"/>
      <c r="BB77" s="16"/>
      <c r="BC77" s="32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56"/>
      <c r="CU77" s="56"/>
      <c r="CV77" s="56"/>
      <c r="CW77" s="56"/>
      <c r="CX77" s="56"/>
      <c r="CY77" s="56"/>
      <c r="CZ77" s="56"/>
      <c r="DA77" s="56"/>
      <c r="DB77" s="56"/>
      <c r="DC77" s="56"/>
      <c r="DD77" s="56"/>
      <c r="DE77" s="56"/>
      <c r="DF77" s="56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16"/>
      <c r="GB77" s="16"/>
      <c r="GC77" s="16"/>
      <c r="GD77" s="16"/>
      <c r="GE77" s="16"/>
      <c r="GF77" s="16"/>
      <c r="GG77" s="16"/>
      <c r="GH77" s="51"/>
      <c r="GI77" s="51"/>
      <c r="GJ77" s="51"/>
      <c r="GK77" s="51"/>
      <c r="GL77" s="51"/>
      <c r="GM77" s="51"/>
      <c r="GN77"/>
      <c r="GO77"/>
      <c r="GP77"/>
      <c r="GQ77"/>
    </row>
    <row r="78" spans="1:199" s="1" customForma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R78" s="32"/>
      <c r="S78" s="4"/>
      <c r="AJ78" s="32"/>
      <c r="AK78" s="16"/>
      <c r="AL78" s="16"/>
      <c r="AM78" s="16"/>
      <c r="AN78" s="32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32"/>
      <c r="AZ78" s="16"/>
      <c r="BA78" s="16"/>
      <c r="BB78" s="16"/>
      <c r="BC78" s="32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56"/>
      <c r="CU78" s="56"/>
      <c r="CV78" s="56"/>
      <c r="CW78" s="56"/>
      <c r="CX78" s="56"/>
      <c r="CY78" s="56"/>
      <c r="CZ78" s="56"/>
      <c r="DA78" s="56"/>
      <c r="DB78" s="56"/>
      <c r="DC78" s="56"/>
      <c r="DD78" s="56"/>
      <c r="DE78" s="56"/>
      <c r="DF78" s="56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16"/>
      <c r="GB78" s="16"/>
      <c r="GC78" s="16"/>
      <c r="GD78" s="16"/>
      <c r="GE78" s="16"/>
      <c r="GF78" s="16"/>
      <c r="GG78" s="16"/>
      <c r="GH78" s="51"/>
      <c r="GI78" s="51"/>
      <c r="GJ78" s="51"/>
      <c r="GK78" s="51"/>
      <c r="GL78" s="51"/>
      <c r="GM78" s="51"/>
      <c r="GN78"/>
      <c r="GO78"/>
      <c r="GP78"/>
      <c r="GQ78"/>
    </row>
    <row r="79" spans="1:199" s="1" customForma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R79" s="32"/>
      <c r="S79" s="4"/>
      <c r="AJ79" s="32"/>
      <c r="AK79" s="16"/>
      <c r="AL79" s="16"/>
      <c r="AM79" s="16"/>
      <c r="AN79" s="32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32"/>
      <c r="AZ79" s="16"/>
      <c r="BA79" s="16"/>
      <c r="BB79" s="16"/>
      <c r="BC79" s="32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56"/>
      <c r="CU79" s="56"/>
      <c r="CV79" s="56"/>
      <c r="CW79" s="56"/>
      <c r="CX79" s="56"/>
      <c r="CY79" s="56"/>
      <c r="CZ79" s="56"/>
      <c r="DA79" s="56"/>
      <c r="DB79" s="56"/>
      <c r="DC79" s="56"/>
      <c r="DD79" s="56"/>
      <c r="DE79" s="56"/>
      <c r="DF79" s="56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16"/>
      <c r="GB79" s="16"/>
      <c r="GC79" s="16"/>
      <c r="GD79" s="16"/>
      <c r="GE79" s="16"/>
      <c r="GF79" s="16"/>
      <c r="GG79" s="16"/>
      <c r="GH79" s="51"/>
      <c r="GI79" s="51"/>
      <c r="GJ79" s="51"/>
      <c r="GK79" s="51"/>
      <c r="GL79" s="51"/>
      <c r="GM79" s="51"/>
      <c r="GN79"/>
      <c r="GO79"/>
      <c r="GP79"/>
      <c r="GQ79"/>
    </row>
    <row r="80" spans="1:199" s="1" customForma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R80" s="32"/>
      <c r="S80" s="4"/>
      <c r="AJ80" s="32"/>
      <c r="AK80" s="16"/>
      <c r="AL80" s="16"/>
      <c r="AM80" s="16"/>
      <c r="AN80" s="32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32"/>
      <c r="AZ80" s="16"/>
      <c r="BA80" s="16"/>
      <c r="BB80" s="16"/>
      <c r="BC80" s="32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56"/>
      <c r="CU80" s="56"/>
      <c r="CV80" s="56"/>
      <c r="CW80" s="56"/>
      <c r="CX80" s="56"/>
      <c r="CY80" s="56"/>
      <c r="CZ80" s="56"/>
      <c r="DA80" s="56"/>
      <c r="DB80" s="56"/>
      <c r="DC80" s="56"/>
      <c r="DD80" s="56"/>
      <c r="DE80" s="56"/>
      <c r="DF80" s="56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16"/>
      <c r="GB80" s="16"/>
      <c r="GC80" s="16"/>
      <c r="GD80" s="16"/>
      <c r="GE80" s="16"/>
      <c r="GF80" s="16"/>
      <c r="GG80" s="16"/>
      <c r="GH80" s="51"/>
      <c r="GI80" s="51"/>
      <c r="GJ80" s="51"/>
      <c r="GK80" s="51"/>
      <c r="GL80" s="51"/>
      <c r="GM80" s="51"/>
      <c r="GN80"/>
      <c r="GO80"/>
      <c r="GP80"/>
      <c r="GQ80"/>
    </row>
    <row r="81" spans="1:199" s="1" customForma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R81" s="32"/>
      <c r="S81" s="4"/>
      <c r="AJ81" s="32"/>
      <c r="AK81" s="16"/>
      <c r="AL81" s="16"/>
      <c r="AM81" s="16"/>
      <c r="AN81" s="32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32"/>
      <c r="AZ81" s="16"/>
      <c r="BA81" s="16"/>
      <c r="BB81" s="16"/>
      <c r="BC81" s="32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56"/>
      <c r="CU81" s="56"/>
      <c r="CV81" s="56"/>
      <c r="CW81" s="56"/>
      <c r="CX81" s="56"/>
      <c r="CY81" s="56"/>
      <c r="CZ81" s="56"/>
      <c r="DA81" s="56"/>
      <c r="DB81" s="56"/>
      <c r="DC81" s="56"/>
      <c r="DD81" s="56"/>
      <c r="DE81" s="56"/>
      <c r="DF81" s="56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16"/>
      <c r="GB81" s="16"/>
      <c r="GC81" s="16"/>
      <c r="GD81" s="16"/>
      <c r="GE81" s="16"/>
      <c r="GF81" s="16"/>
      <c r="GG81" s="16"/>
      <c r="GH81" s="51"/>
      <c r="GI81" s="51"/>
      <c r="GJ81" s="51"/>
      <c r="GK81" s="51"/>
      <c r="GL81" s="51"/>
      <c r="GM81" s="51"/>
      <c r="GN81"/>
      <c r="GO81"/>
      <c r="GP81"/>
      <c r="GQ81"/>
    </row>
    <row r="82" spans="1:199" s="1" customForma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R82" s="32"/>
      <c r="S82" s="4"/>
      <c r="AJ82" s="32"/>
      <c r="AK82" s="16"/>
      <c r="AL82" s="16"/>
      <c r="AM82" s="16"/>
      <c r="AN82" s="32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32"/>
      <c r="AZ82" s="16"/>
      <c r="BA82" s="16"/>
      <c r="BB82" s="16"/>
      <c r="BC82" s="32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56"/>
      <c r="CU82" s="56"/>
      <c r="CV82" s="56"/>
      <c r="CW82" s="56"/>
      <c r="CX82" s="56"/>
      <c r="CY82" s="56"/>
      <c r="CZ82" s="56"/>
      <c r="DA82" s="56"/>
      <c r="DB82" s="56"/>
      <c r="DC82" s="56"/>
      <c r="DD82" s="56"/>
      <c r="DE82" s="56"/>
      <c r="DF82" s="56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16"/>
      <c r="GB82" s="16"/>
      <c r="GC82" s="16"/>
      <c r="GD82" s="16"/>
      <c r="GE82" s="16"/>
      <c r="GF82" s="16"/>
      <c r="GG82" s="16"/>
      <c r="GH82" s="51"/>
      <c r="GI82" s="51"/>
      <c r="GJ82" s="51"/>
      <c r="GK82" s="51"/>
      <c r="GL82" s="51"/>
      <c r="GM82" s="51"/>
      <c r="GN82"/>
      <c r="GO82"/>
      <c r="GP82"/>
      <c r="GQ82"/>
    </row>
    <row r="83" spans="1:199" s="1" customForma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R83" s="32"/>
      <c r="S83" s="4"/>
      <c r="AJ83" s="32"/>
      <c r="AK83" s="16"/>
      <c r="AL83" s="16"/>
      <c r="AM83" s="16"/>
      <c r="AN83" s="32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32"/>
      <c r="AZ83" s="16"/>
      <c r="BA83" s="16"/>
      <c r="BB83" s="16"/>
      <c r="BC83" s="32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56"/>
      <c r="CU83" s="56"/>
      <c r="CV83" s="56"/>
      <c r="CW83" s="56"/>
      <c r="CX83" s="56"/>
      <c r="CY83" s="56"/>
      <c r="CZ83" s="56"/>
      <c r="DA83" s="56"/>
      <c r="DB83" s="56"/>
      <c r="DC83" s="56"/>
      <c r="DD83" s="56"/>
      <c r="DE83" s="56"/>
      <c r="DF83" s="56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16"/>
      <c r="GB83" s="16"/>
      <c r="GC83" s="16"/>
      <c r="GD83" s="16"/>
      <c r="GE83" s="16"/>
      <c r="GF83" s="16"/>
      <c r="GG83" s="16"/>
      <c r="GH83" s="51"/>
      <c r="GI83" s="51"/>
      <c r="GJ83" s="51"/>
      <c r="GK83" s="51"/>
      <c r="GL83" s="51"/>
      <c r="GM83" s="51"/>
      <c r="GN83"/>
      <c r="GO83"/>
      <c r="GP83"/>
      <c r="GQ83"/>
    </row>
    <row r="84" spans="1:199" s="1" customForma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R84" s="32"/>
      <c r="S84" s="4"/>
      <c r="AJ84" s="32"/>
      <c r="AK84" s="16"/>
      <c r="AL84" s="16"/>
      <c r="AM84" s="16"/>
      <c r="AN84" s="32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32"/>
      <c r="AZ84" s="16"/>
      <c r="BA84" s="16"/>
      <c r="BB84" s="16"/>
      <c r="BC84" s="32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56"/>
      <c r="CU84" s="56"/>
      <c r="CV84" s="56"/>
      <c r="CW84" s="56"/>
      <c r="CX84" s="56"/>
      <c r="CY84" s="56"/>
      <c r="CZ84" s="56"/>
      <c r="DA84" s="56"/>
      <c r="DB84" s="56"/>
      <c r="DC84" s="56"/>
      <c r="DD84" s="56"/>
      <c r="DE84" s="56"/>
      <c r="DF84" s="56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16"/>
      <c r="GB84" s="16"/>
      <c r="GC84" s="16"/>
      <c r="GD84" s="16"/>
      <c r="GE84" s="16"/>
      <c r="GF84" s="16"/>
      <c r="GG84" s="16"/>
      <c r="GH84" s="51"/>
      <c r="GI84" s="51"/>
      <c r="GJ84" s="51"/>
      <c r="GK84" s="51"/>
      <c r="GL84" s="51"/>
      <c r="GM84" s="51"/>
      <c r="GN84"/>
      <c r="GO84"/>
      <c r="GP84"/>
      <c r="GQ84"/>
    </row>
    <row r="85" spans="1:199" s="1" customForma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R85" s="32"/>
      <c r="S85" s="4"/>
      <c r="AJ85" s="32"/>
      <c r="AK85" s="16"/>
      <c r="AL85" s="16"/>
      <c r="AM85" s="16"/>
      <c r="AN85" s="32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32"/>
      <c r="AZ85" s="16"/>
      <c r="BA85" s="16"/>
      <c r="BB85" s="16"/>
      <c r="BC85" s="32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56"/>
      <c r="CU85" s="56"/>
      <c r="CV85" s="56"/>
      <c r="CW85" s="56"/>
      <c r="CX85" s="56"/>
      <c r="CY85" s="56"/>
      <c r="CZ85" s="56"/>
      <c r="DA85" s="56"/>
      <c r="DB85" s="56"/>
      <c r="DC85" s="56"/>
      <c r="DD85" s="56"/>
      <c r="DE85" s="56"/>
      <c r="DF85" s="56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16"/>
      <c r="GB85" s="16"/>
      <c r="GC85" s="16"/>
      <c r="GD85" s="16"/>
      <c r="GE85" s="16"/>
      <c r="GF85" s="16"/>
      <c r="GG85" s="16"/>
      <c r="GH85" s="51"/>
      <c r="GI85" s="51"/>
      <c r="GJ85" s="51"/>
      <c r="GK85" s="51"/>
      <c r="GL85" s="51"/>
      <c r="GM85" s="51"/>
      <c r="GN85"/>
      <c r="GO85"/>
      <c r="GP85"/>
      <c r="GQ85"/>
    </row>
    <row r="86" spans="1:199" s="1" customForma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R86" s="32"/>
      <c r="S86" s="4"/>
      <c r="AJ86" s="32"/>
      <c r="AK86" s="16"/>
      <c r="AL86" s="16"/>
      <c r="AM86" s="16"/>
      <c r="AN86" s="32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32"/>
      <c r="AZ86" s="16"/>
      <c r="BA86" s="16"/>
      <c r="BB86" s="16"/>
      <c r="BC86" s="32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56"/>
      <c r="CU86" s="56"/>
      <c r="CV86" s="56"/>
      <c r="CW86" s="56"/>
      <c r="CX86" s="56"/>
      <c r="CY86" s="56"/>
      <c r="CZ86" s="56"/>
      <c r="DA86" s="56"/>
      <c r="DB86" s="56"/>
      <c r="DC86" s="56"/>
      <c r="DD86" s="56"/>
      <c r="DE86" s="56"/>
      <c r="DF86" s="56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16"/>
      <c r="GB86" s="16"/>
      <c r="GC86" s="16"/>
      <c r="GD86" s="16"/>
      <c r="GE86" s="16"/>
      <c r="GF86" s="16"/>
      <c r="GG86" s="16"/>
      <c r="GH86" s="51"/>
      <c r="GI86" s="51"/>
      <c r="GJ86" s="51"/>
      <c r="GK86" s="51"/>
      <c r="GL86" s="51"/>
      <c r="GM86" s="51"/>
      <c r="GN86"/>
      <c r="GO86"/>
      <c r="GP86"/>
      <c r="GQ86"/>
    </row>
    <row r="87" spans="1:199" s="1" customForma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R87" s="32"/>
      <c r="S87" s="4"/>
      <c r="AJ87" s="32"/>
      <c r="AK87" s="16"/>
      <c r="AL87" s="16"/>
      <c r="AM87" s="16"/>
      <c r="AN87" s="32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32"/>
      <c r="AZ87" s="16"/>
      <c r="BA87" s="16"/>
      <c r="BB87" s="16"/>
      <c r="BC87" s="32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56"/>
      <c r="CU87" s="56"/>
      <c r="CV87" s="56"/>
      <c r="CW87" s="56"/>
      <c r="CX87" s="56"/>
      <c r="CY87" s="56"/>
      <c r="CZ87" s="56"/>
      <c r="DA87" s="56"/>
      <c r="DB87" s="56"/>
      <c r="DC87" s="56"/>
      <c r="DD87" s="56"/>
      <c r="DE87" s="56"/>
      <c r="DF87" s="56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16"/>
      <c r="GB87" s="16"/>
      <c r="GC87" s="16"/>
      <c r="GD87" s="16"/>
      <c r="GE87" s="16"/>
      <c r="GF87" s="16"/>
      <c r="GG87" s="16"/>
      <c r="GH87" s="51"/>
      <c r="GI87" s="51"/>
      <c r="GJ87" s="51"/>
      <c r="GK87" s="51"/>
      <c r="GL87" s="51"/>
      <c r="GM87" s="51"/>
      <c r="GN87"/>
      <c r="GO87"/>
      <c r="GP87"/>
      <c r="GQ87"/>
    </row>
    <row r="88" spans="1:199" s="1" customForma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R88" s="32"/>
      <c r="S88" s="4"/>
      <c r="AJ88" s="32"/>
      <c r="AK88" s="16"/>
      <c r="AL88" s="16"/>
      <c r="AM88" s="16"/>
      <c r="AN88" s="32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32"/>
      <c r="AZ88" s="16"/>
      <c r="BA88" s="16"/>
      <c r="BB88" s="16"/>
      <c r="BC88" s="32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56"/>
      <c r="CU88" s="56"/>
      <c r="CV88" s="56"/>
      <c r="CW88" s="56"/>
      <c r="CX88" s="56"/>
      <c r="CY88" s="56"/>
      <c r="CZ88" s="56"/>
      <c r="DA88" s="56"/>
      <c r="DB88" s="56"/>
      <c r="DC88" s="56"/>
      <c r="DD88" s="56"/>
      <c r="DE88" s="56"/>
      <c r="DF88" s="56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16"/>
      <c r="GB88" s="16"/>
      <c r="GC88" s="16"/>
      <c r="GD88" s="16"/>
      <c r="GE88" s="16"/>
      <c r="GF88" s="16"/>
      <c r="GG88" s="16"/>
      <c r="GH88" s="51"/>
      <c r="GI88" s="51"/>
      <c r="GJ88" s="51"/>
      <c r="GK88" s="51"/>
      <c r="GL88" s="51"/>
      <c r="GM88" s="51"/>
      <c r="GN88"/>
      <c r="GO88"/>
      <c r="GP88"/>
      <c r="GQ88"/>
    </row>
    <row r="89" spans="1:199" s="1" customForma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R89" s="32"/>
      <c r="S89" s="4"/>
      <c r="AJ89" s="32"/>
      <c r="AK89" s="16"/>
      <c r="AL89" s="16"/>
      <c r="AM89" s="16"/>
      <c r="AN89" s="32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32"/>
      <c r="AZ89" s="16"/>
      <c r="BA89" s="16"/>
      <c r="BB89" s="16"/>
      <c r="BC89" s="32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56"/>
      <c r="CU89" s="56"/>
      <c r="CV89" s="56"/>
      <c r="CW89" s="56"/>
      <c r="CX89" s="56"/>
      <c r="CY89" s="56"/>
      <c r="CZ89" s="56"/>
      <c r="DA89" s="56"/>
      <c r="DB89" s="56"/>
      <c r="DC89" s="56"/>
      <c r="DD89" s="56"/>
      <c r="DE89" s="56"/>
      <c r="DF89" s="56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16"/>
      <c r="GB89" s="16"/>
      <c r="GC89" s="16"/>
      <c r="GD89" s="16"/>
      <c r="GE89" s="16"/>
      <c r="GF89" s="16"/>
      <c r="GG89" s="16"/>
      <c r="GH89" s="51"/>
      <c r="GI89" s="51"/>
      <c r="GJ89" s="51"/>
      <c r="GK89" s="51"/>
      <c r="GL89" s="51"/>
      <c r="GM89" s="51"/>
      <c r="GN89"/>
      <c r="GO89"/>
      <c r="GP89"/>
      <c r="GQ89"/>
    </row>
    <row r="90" spans="1:199" s="1" customForma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R90" s="32"/>
      <c r="S90" s="4"/>
      <c r="AJ90" s="32"/>
      <c r="AK90" s="16"/>
      <c r="AL90" s="16"/>
      <c r="AM90" s="16"/>
      <c r="AN90" s="32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32"/>
      <c r="AZ90" s="16"/>
      <c r="BA90" s="16"/>
      <c r="BB90" s="16"/>
      <c r="BC90" s="32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56"/>
      <c r="CU90" s="56"/>
      <c r="CV90" s="56"/>
      <c r="CW90" s="56"/>
      <c r="CX90" s="56"/>
      <c r="CY90" s="56"/>
      <c r="CZ90" s="56"/>
      <c r="DA90" s="56"/>
      <c r="DB90" s="56"/>
      <c r="DC90" s="56"/>
      <c r="DD90" s="56"/>
      <c r="DE90" s="56"/>
      <c r="DF90" s="56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16"/>
      <c r="GB90" s="16"/>
      <c r="GC90" s="16"/>
      <c r="GD90" s="16"/>
      <c r="GE90" s="16"/>
      <c r="GF90" s="16"/>
      <c r="GG90" s="16"/>
      <c r="GH90" s="51"/>
      <c r="GI90" s="51"/>
      <c r="GJ90" s="51"/>
      <c r="GK90" s="51"/>
      <c r="GL90" s="51"/>
      <c r="GM90" s="51"/>
      <c r="GN90"/>
      <c r="GO90"/>
      <c r="GP90"/>
      <c r="GQ90"/>
    </row>
    <row r="91" spans="1:199" s="1" customForma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R91" s="32"/>
      <c r="S91" s="4"/>
      <c r="AJ91" s="32"/>
      <c r="AK91" s="16"/>
      <c r="AL91" s="16"/>
      <c r="AM91" s="16"/>
      <c r="AN91" s="32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32"/>
      <c r="AZ91" s="16"/>
      <c r="BA91" s="16"/>
      <c r="BB91" s="16"/>
      <c r="BC91" s="32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56"/>
      <c r="CU91" s="56"/>
      <c r="CV91" s="56"/>
      <c r="CW91" s="56"/>
      <c r="CX91" s="56"/>
      <c r="CY91" s="56"/>
      <c r="CZ91" s="56"/>
      <c r="DA91" s="56"/>
      <c r="DB91" s="56"/>
      <c r="DC91" s="56"/>
      <c r="DD91" s="56"/>
      <c r="DE91" s="56"/>
      <c r="DF91" s="56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16"/>
      <c r="GB91" s="16"/>
      <c r="GC91" s="16"/>
      <c r="GD91" s="16"/>
      <c r="GE91" s="16"/>
      <c r="GF91" s="16"/>
      <c r="GG91" s="16"/>
      <c r="GH91" s="51"/>
      <c r="GI91" s="51"/>
      <c r="GJ91" s="51"/>
      <c r="GK91" s="51"/>
      <c r="GL91" s="51"/>
      <c r="GM91" s="51"/>
      <c r="GN91"/>
      <c r="GO91"/>
      <c r="GP91"/>
      <c r="GQ91"/>
    </row>
    <row r="92" spans="1:199" s="1" customForma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R92" s="32"/>
      <c r="S92" s="4"/>
      <c r="AJ92" s="32"/>
      <c r="AK92" s="16"/>
      <c r="AL92" s="16"/>
      <c r="AM92" s="16"/>
      <c r="AN92" s="32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32"/>
      <c r="AZ92" s="16"/>
      <c r="BA92" s="16"/>
      <c r="BB92" s="16"/>
      <c r="BC92" s="32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56"/>
      <c r="CU92" s="56"/>
      <c r="CV92" s="56"/>
      <c r="CW92" s="56"/>
      <c r="CX92" s="56"/>
      <c r="CY92" s="56"/>
      <c r="CZ92" s="56"/>
      <c r="DA92" s="56"/>
      <c r="DB92" s="56"/>
      <c r="DC92" s="56"/>
      <c r="DD92" s="56"/>
      <c r="DE92" s="56"/>
      <c r="DF92" s="56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16"/>
      <c r="GB92" s="16"/>
      <c r="GC92" s="16"/>
      <c r="GD92" s="16"/>
      <c r="GE92" s="16"/>
      <c r="GF92" s="16"/>
      <c r="GG92" s="16"/>
      <c r="GH92" s="51"/>
      <c r="GI92" s="51"/>
      <c r="GJ92" s="51"/>
      <c r="GK92" s="51"/>
      <c r="GL92" s="51"/>
      <c r="GM92" s="51"/>
      <c r="GN92"/>
      <c r="GO92"/>
      <c r="GP92"/>
      <c r="GQ92"/>
    </row>
    <row r="93" spans="1:199" s="1" customForma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R93" s="32"/>
      <c r="S93" s="4"/>
      <c r="AJ93" s="32"/>
      <c r="AK93" s="16"/>
      <c r="AL93" s="16"/>
      <c r="AM93" s="16"/>
      <c r="AN93" s="32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32"/>
      <c r="AZ93" s="16"/>
      <c r="BA93" s="16"/>
      <c r="BB93" s="16"/>
      <c r="BC93" s="32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56"/>
      <c r="CU93" s="56"/>
      <c r="CV93" s="56"/>
      <c r="CW93" s="56"/>
      <c r="CX93" s="56"/>
      <c r="CY93" s="56"/>
      <c r="CZ93" s="56"/>
      <c r="DA93" s="56"/>
      <c r="DB93" s="56"/>
      <c r="DC93" s="56"/>
      <c r="DD93" s="56"/>
      <c r="DE93" s="56"/>
      <c r="DF93" s="56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16"/>
      <c r="GB93" s="16"/>
      <c r="GC93" s="16"/>
      <c r="GD93" s="16"/>
      <c r="GE93" s="16"/>
      <c r="GF93" s="16"/>
      <c r="GG93" s="16"/>
      <c r="GH93" s="51"/>
      <c r="GI93" s="51"/>
      <c r="GJ93" s="51"/>
      <c r="GK93" s="51"/>
      <c r="GL93" s="51"/>
      <c r="GM93" s="51"/>
      <c r="GN93"/>
      <c r="GO93"/>
      <c r="GP93"/>
      <c r="GQ93"/>
    </row>
    <row r="94" spans="1:199" s="1" customForma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R94" s="32"/>
      <c r="S94" s="4"/>
      <c r="AJ94" s="32"/>
      <c r="AK94" s="16"/>
      <c r="AL94" s="16"/>
      <c r="AM94" s="16"/>
      <c r="AN94" s="32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32"/>
      <c r="AZ94" s="16"/>
      <c r="BA94" s="16"/>
      <c r="BB94" s="16"/>
      <c r="BC94" s="32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56"/>
      <c r="CU94" s="56"/>
      <c r="CV94" s="56"/>
      <c r="CW94" s="56"/>
      <c r="CX94" s="56"/>
      <c r="CY94" s="56"/>
      <c r="CZ94" s="56"/>
      <c r="DA94" s="56"/>
      <c r="DB94" s="56"/>
      <c r="DC94" s="56"/>
      <c r="DD94" s="56"/>
      <c r="DE94" s="56"/>
      <c r="DF94" s="56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16"/>
      <c r="GB94" s="16"/>
      <c r="GC94" s="16"/>
      <c r="GD94" s="16"/>
      <c r="GE94" s="16"/>
      <c r="GF94" s="16"/>
      <c r="GG94" s="16"/>
      <c r="GH94" s="51"/>
      <c r="GI94" s="51"/>
      <c r="GJ94" s="51"/>
      <c r="GK94" s="51"/>
      <c r="GL94" s="51"/>
      <c r="GM94" s="51"/>
      <c r="GN94"/>
      <c r="GO94"/>
      <c r="GP94"/>
      <c r="GQ94"/>
    </row>
    <row r="95" spans="1:199" s="1" customForma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R95" s="32"/>
      <c r="S95" s="4"/>
      <c r="AJ95" s="32"/>
      <c r="AK95" s="16"/>
      <c r="AL95" s="16"/>
      <c r="AM95" s="16"/>
      <c r="AN95" s="32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32"/>
      <c r="AZ95" s="16"/>
      <c r="BA95" s="16"/>
      <c r="BB95" s="16"/>
      <c r="BC95" s="32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56"/>
      <c r="CU95" s="56"/>
      <c r="CV95" s="56"/>
      <c r="CW95" s="56"/>
      <c r="CX95" s="56"/>
      <c r="CY95" s="56"/>
      <c r="CZ95" s="56"/>
      <c r="DA95" s="56"/>
      <c r="DB95" s="56"/>
      <c r="DC95" s="56"/>
      <c r="DD95" s="56"/>
      <c r="DE95" s="56"/>
      <c r="DF95" s="56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16"/>
      <c r="GB95" s="16"/>
      <c r="GC95" s="16"/>
      <c r="GD95" s="16"/>
      <c r="GE95" s="16"/>
      <c r="GF95" s="16"/>
      <c r="GG95" s="16"/>
      <c r="GH95" s="51"/>
      <c r="GI95" s="51"/>
      <c r="GJ95" s="51"/>
      <c r="GK95" s="51"/>
      <c r="GL95" s="51"/>
      <c r="GM95" s="51"/>
      <c r="GN95"/>
      <c r="GO95"/>
      <c r="GP95"/>
      <c r="GQ95"/>
    </row>
    <row r="96" spans="1:199" s="1" customForma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R96" s="32"/>
      <c r="S96" s="4"/>
      <c r="AJ96" s="32"/>
      <c r="AK96" s="16"/>
      <c r="AL96" s="16"/>
      <c r="AM96" s="16"/>
      <c r="AN96" s="32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32"/>
      <c r="AZ96" s="16"/>
      <c r="BA96" s="16"/>
      <c r="BB96" s="16"/>
      <c r="BC96" s="32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56"/>
      <c r="CU96" s="56"/>
      <c r="CV96" s="56"/>
      <c r="CW96" s="56"/>
      <c r="CX96" s="56"/>
      <c r="CY96" s="56"/>
      <c r="CZ96" s="56"/>
      <c r="DA96" s="56"/>
      <c r="DB96" s="56"/>
      <c r="DC96" s="56"/>
      <c r="DD96" s="56"/>
      <c r="DE96" s="56"/>
      <c r="DF96" s="56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25"/>
      <c r="EL96" s="25"/>
      <c r="EM96" s="25"/>
      <c r="EN96" s="25"/>
      <c r="EO96" s="25"/>
      <c r="EP96" s="25"/>
      <c r="EQ96" s="25"/>
      <c r="ER96" s="25"/>
      <c r="ES96" s="25"/>
      <c r="ET96" s="25"/>
      <c r="EU96" s="25"/>
      <c r="EV96" s="25"/>
      <c r="EW96" s="25"/>
      <c r="EX96" s="25"/>
      <c r="EY96" s="25"/>
      <c r="EZ96" s="25"/>
      <c r="FA96" s="25"/>
      <c r="FB96" s="25"/>
      <c r="FC96" s="25"/>
      <c r="FD96" s="25"/>
      <c r="FE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16"/>
      <c r="GB96" s="16"/>
      <c r="GC96" s="16"/>
      <c r="GD96" s="16"/>
      <c r="GE96" s="16"/>
      <c r="GF96" s="16"/>
      <c r="GG96" s="16"/>
      <c r="GH96" s="51"/>
      <c r="GI96" s="51"/>
      <c r="GJ96" s="51"/>
      <c r="GK96" s="51"/>
      <c r="GL96" s="51"/>
      <c r="GM96" s="51"/>
      <c r="GN96"/>
      <c r="GO96"/>
      <c r="GP96"/>
      <c r="GQ96"/>
    </row>
    <row r="97" spans="1:199" s="1" customForma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R97" s="32"/>
      <c r="S97" s="4"/>
      <c r="AJ97" s="32"/>
      <c r="AK97" s="16"/>
      <c r="AL97" s="16"/>
      <c r="AM97" s="16"/>
      <c r="AN97" s="32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32"/>
      <c r="AZ97" s="16"/>
      <c r="BA97" s="16"/>
      <c r="BB97" s="16"/>
      <c r="BC97" s="32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56"/>
      <c r="CU97" s="56"/>
      <c r="CV97" s="56"/>
      <c r="CW97" s="56"/>
      <c r="CX97" s="56"/>
      <c r="CY97" s="56"/>
      <c r="CZ97" s="56"/>
      <c r="DA97" s="56"/>
      <c r="DB97" s="56"/>
      <c r="DC97" s="56"/>
      <c r="DD97" s="56"/>
      <c r="DE97" s="56"/>
      <c r="DF97" s="56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25"/>
      <c r="EL97" s="25"/>
      <c r="EM97" s="25"/>
      <c r="EN97" s="25"/>
      <c r="EO97" s="25"/>
      <c r="EP97" s="25"/>
      <c r="EQ97" s="25"/>
      <c r="ER97" s="25"/>
      <c r="ES97" s="25"/>
      <c r="ET97" s="25"/>
      <c r="EU97" s="25"/>
      <c r="EV97" s="25"/>
      <c r="EW97" s="25"/>
      <c r="EX97" s="25"/>
      <c r="EY97" s="25"/>
      <c r="EZ97" s="25"/>
      <c r="FA97" s="25"/>
      <c r="FB97" s="25"/>
      <c r="FC97" s="25"/>
      <c r="FD97" s="25"/>
      <c r="FE97" s="25"/>
      <c r="FF97" s="25"/>
      <c r="FG97" s="25"/>
      <c r="FH97" s="25"/>
      <c r="FI97" s="25"/>
      <c r="FJ97" s="25"/>
      <c r="FK97" s="25"/>
      <c r="FL97" s="25"/>
      <c r="FM97" s="25"/>
      <c r="FN97" s="25"/>
      <c r="FO97" s="25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16"/>
      <c r="GB97" s="16"/>
      <c r="GC97" s="16"/>
      <c r="GD97" s="16"/>
      <c r="GE97" s="16"/>
      <c r="GF97" s="16"/>
      <c r="GG97" s="16"/>
      <c r="GH97" s="51"/>
      <c r="GI97" s="51"/>
      <c r="GJ97" s="51"/>
      <c r="GK97" s="51"/>
      <c r="GL97" s="51"/>
      <c r="GM97" s="51"/>
      <c r="GN97"/>
      <c r="GO97"/>
      <c r="GP97"/>
      <c r="GQ97"/>
    </row>
    <row r="98" spans="1:199" s="1" customForma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R98" s="32"/>
      <c r="S98" s="4"/>
      <c r="AJ98" s="32"/>
      <c r="AK98" s="16"/>
      <c r="AL98" s="16"/>
      <c r="AM98" s="16"/>
      <c r="AN98" s="32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32"/>
      <c r="AZ98" s="16"/>
      <c r="BA98" s="16"/>
      <c r="BB98" s="16"/>
      <c r="BC98" s="32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56"/>
      <c r="CU98" s="56"/>
      <c r="CV98" s="56"/>
      <c r="CW98" s="56"/>
      <c r="CX98" s="56"/>
      <c r="CY98" s="56"/>
      <c r="CZ98" s="56"/>
      <c r="DA98" s="56"/>
      <c r="DB98" s="56"/>
      <c r="DC98" s="56"/>
      <c r="DD98" s="56"/>
      <c r="DE98" s="56"/>
      <c r="DF98" s="56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5"/>
      <c r="EY98" s="25"/>
      <c r="EZ98" s="25"/>
      <c r="FA98" s="25"/>
      <c r="FB98" s="25"/>
      <c r="FC98" s="25"/>
      <c r="FD98" s="25"/>
      <c r="FE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16"/>
      <c r="GB98" s="16"/>
      <c r="GC98" s="16"/>
      <c r="GD98" s="16"/>
      <c r="GE98" s="16"/>
      <c r="GF98" s="16"/>
      <c r="GG98" s="16"/>
      <c r="GH98" s="51"/>
      <c r="GI98" s="51"/>
      <c r="GJ98" s="51"/>
      <c r="GK98" s="51"/>
      <c r="GL98" s="51"/>
      <c r="GM98" s="51"/>
      <c r="GN98"/>
      <c r="GO98"/>
      <c r="GP98"/>
      <c r="GQ98"/>
    </row>
    <row r="99" spans="1:199" s="1" customForma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R99" s="32"/>
      <c r="S99" s="4"/>
      <c r="AJ99" s="32"/>
      <c r="AK99" s="16"/>
      <c r="AL99" s="16"/>
      <c r="AM99" s="16"/>
      <c r="AN99" s="32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32"/>
      <c r="AZ99" s="16"/>
      <c r="BA99" s="16"/>
      <c r="BB99" s="16"/>
      <c r="BC99" s="32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56"/>
      <c r="CU99" s="56"/>
      <c r="CV99" s="56"/>
      <c r="CW99" s="56"/>
      <c r="CX99" s="56"/>
      <c r="CY99" s="56"/>
      <c r="CZ99" s="56"/>
      <c r="DA99" s="56"/>
      <c r="DB99" s="56"/>
      <c r="DC99" s="56"/>
      <c r="DD99" s="56"/>
      <c r="DE99" s="56"/>
      <c r="DF99" s="56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16"/>
      <c r="GB99" s="16"/>
      <c r="GC99" s="16"/>
      <c r="GD99" s="16"/>
      <c r="GE99" s="16"/>
      <c r="GF99" s="16"/>
      <c r="GG99" s="16"/>
      <c r="GH99" s="51"/>
      <c r="GI99" s="51"/>
      <c r="GJ99" s="51"/>
      <c r="GK99" s="51"/>
      <c r="GL99" s="51"/>
      <c r="GM99" s="51"/>
      <c r="GN99"/>
      <c r="GO99"/>
      <c r="GP99"/>
      <c r="GQ99"/>
    </row>
    <row r="100" spans="1:199" s="1" customForma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R100" s="32"/>
      <c r="S100" s="4"/>
      <c r="AJ100" s="32"/>
      <c r="AK100" s="16"/>
      <c r="AL100" s="16"/>
      <c r="AM100" s="16"/>
      <c r="AN100" s="32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32"/>
      <c r="AZ100" s="16"/>
      <c r="BA100" s="16"/>
      <c r="BB100" s="16"/>
      <c r="BC100" s="32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56"/>
      <c r="CU100" s="56"/>
      <c r="CV100" s="56"/>
      <c r="CW100" s="56"/>
      <c r="CX100" s="56"/>
      <c r="CY100" s="56"/>
      <c r="CZ100" s="56"/>
      <c r="DA100" s="56"/>
      <c r="DB100" s="56"/>
      <c r="DC100" s="56"/>
      <c r="DD100" s="56"/>
      <c r="DE100" s="56"/>
      <c r="DF100" s="56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16"/>
      <c r="GB100" s="16"/>
      <c r="GC100" s="16"/>
      <c r="GD100" s="16"/>
      <c r="GE100" s="16"/>
      <c r="GF100" s="16"/>
      <c r="GG100" s="16"/>
      <c r="GH100" s="51"/>
      <c r="GI100" s="51"/>
      <c r="GJ100" s="51"/>
      <c r="GK100" s="51"/>
      <c r="GL100" s="51"/>
      <c r="GM100" s="51"/>
      <c r="GN100"/>
      <c r="GO100"/>
      <c r="GP100"/>
      <c r="GQ100"/>
    </row>
    <row r="101" spans="1:199" s="1" customForma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R101" s="32"/>
      <c r="S101" s="4"/>
      <c r="AJ101" s="32"/>
      <c r="AK101" s="16"/>
      <c r="AL101" s="16"/>
      <c r="AM101" s="16"/>
      <c r="AN101" s="32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32"/>
      <c r="AZ101" s="16"/>
      <c r="BA101" s="16"/>
      <c r="BB101" s="16"/>
      <c r="BC101" s="32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56"/>
      <c r="CU101" s="56"/>
      <c r="CV101" s="56"/>
      <c r="CW101" s="56"/>
      <c r="CX101" s="56"/>
      <c r="CY101" s="56"/>
      <c r="CZ101" s="56"/>
      <c r="DA101" s="56"/>
      <c r="DB101" s="56"/>
      <c r="DC101" s="56"/>
      <c r="DD101" s="56"/>
      <c r="DE101" s="56"/>
      <c r="DF101" s="56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  <c r="EU101" s="25"/>
      <c r="EV101" s="25"/>
      <c r="EW101" s="25"/>
      <c r="EX101" s="25"/>
      <c r="EY101" s="25"/>
      <c r="EZ101" s="25"/>
      <c r="FA101" s="25"/>
      <c r="FB101" s="25"/>
      <c r="FC101" s="25"/>
      <c r="FD101" s="25"/>
      <c r="FE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16"/>
      <c r="GB101" s="16"/>
      <c r="GC101" s="16"/>
      <c r="GD101" s="16"/>
      <c r="GE101" s="16"/>
      <c r="GF101" s="16"/>
      <c r="GG101" s="16"/>
      <c r="GH101" s="51"/>
      <c r="GI101" s="51"/>
      <c r="GJ101" s="51"/>
      <c r="GK101" s="51"/>
      <c r="GL101" s="51"/>
      <c r="GM101" s="51"/>
      <c r="GN101"/>
      <c r="GO101"/>
      <c r="GP101"/>
      <c r="GQ101"/>
    </row>
    <row r="102" spans="1:199" s="1" customForma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R102" s="32"/>
      <c r="S102" s="4"/>
      <c r="AJ102" s="32"/>
      <c r="AK102" s="16"/>
      <c r="AL102" s="16"/>
      <c r="AM102" s="16"/>
      <c r="AN102" s="32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32"/>
      <c r="AZ102" s="16"/>
      <c r="BA102" s="16"/>
      <c r="BB102" s="16"/>
      <c r="BC102" s="32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56"/>
      <c r="CU102" s="56"/>
      <c r="CV102" s="56"/>
      <c r="CW102" s="56"/>
      <c r="CX102" s="56"/>
      <c r="CY102" s="56"/>
      <c r="CZ102" s="56"/>
      <c r="DA102" s="56"/>
      <c r="DB102" s="56"/>
      <c r="DC102" s="56"/>
      <c r="DD102" s="56"/>
      <c r="DE102" s="56"/>
      <c r="DF102" s="56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  <c r="EU102" s="25"/>
      <c r="EV102" s="25"/>
      <c r="EW102" s="25"/>
      <c r="EX102" s="25"/>
      <c r="EY102" s="25"/>
      <c r="EZ102" s="25"/>
      <c r="FA102" s="25"/>
      <c r="FB102" s="25"/>
      <c r="FC102" s="25"/>
      <c r="FD102" s="25"/>
      <c r="FE102" s="25"/>
      <c r="FF102" s="25"/>
      <c r="FG102" s="25"/>
      <c r="FH102" s="25"/>
      <c r="FI102" s="25"/>
      <c r="FJ102" s="25"/>
      <c r="FK102" s="25"/>
      <c r="FL102" s="25"/>
      <c r="FM102" s="25"/>
      <c r="FN102" s="25"/>
      <c r="FO102" s="25"/>
      <c r="FP102" s="25"/>
      <c r="FQ102" s="25"/>
      <c r="FR102" s="25"/>
      <c r="FS102" s="25"/>
      <c r="FT102" s="25"/>
      <c r="FU102" s="25"/>
      <c r="FV102" s="25"/>
      <c r="FW102" s="25"/>
      <c r="FX102" s="25"/>
      <c r="FY102" s="25"/>
      <c r="FZ102" s="25"/>
      <c r="GA102" s="16"/>
      <c r="GB102" s="16"/>
      <c r="GC102" s="16"/>
      <c r="GD102" s="16"/>
      <c r="GE102" s="16"/>
      <c r="GF102" s="16"/>
      <c r="GG102" s="16"/>
      <c r="GH102" s="51"/>
      <c r="GI102" s="51"/>
      <c r="GJ102" s="51"/>
      <c r="GK102" s="51"/>
      <c r="GL102" s="51"/>
      <c r="GM102" s="51"/>
      <c r="GN102"/>
      <c r="GO102"/>
      <c r="GP102"/>
      <c r="GQ102"/>
    </row>
    <row r="103" spans="1:199" s="1" customForma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R103" s="32"/>
      <c r="S103" s="4"/>
      <c r="AJ103" s="32"/>
      <c r="AK103" s="16"/>
      <c r="AL103" s="16"/>
      <c r="AM103" s="16"/>
      <c r="AN103" s="32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32"/>
      <c r="AZ103" s="16"/>
      <c r="BA103" s="16"/>
      <c r="BB103" s="16"/>
      <c r="BC103" s="32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56"/>
      <c r="CU103" s="56"/>
      <c r="CV103" s="56"/>
      <c r="CW103" s="56"/>
      <c r="CX103" s="56"/>
      <c r="CY103" s="56"/>
      <c r="CZ103" s="56"/>
      <c r="DA103" s="56"/>
      <c r="DB103" s="56"/>
      <c r="DC103" s="56"/>
      <c r="DD103" s="56"/>
      <c r="DE103" s="56"/>
      <c r="DF103" s="56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  <c r="EU103" s="25"/>
      <c r="EV103" s="25"/>
      <c r="EW103" s="25"/>
      <c r="EX103" s="25"/>
      <c r="EY103" s="25"/>
      <c r="EZ103" s="25"/>
      <c r="FA103" s="25"/>
      <c r="FB103" s="25"/>
      <c r="FC103" s="25"/>
      <c r="FD103" s="25"/>
      <c r="FE103" s="25"/>
      <c r="FF103" s="25"/>
      <c r="FG103" s="25"/>
      <c r="FH103" s="25"/>
      <c r="FI103" s="25"/>
      <c r="FJ103" s="25"/>
      <c r="FK103" s="25"/>
      <c r="FL103" s="25"/>
      <c r="FM103" s="25"/>
      <c r="FN103" s="25"/>
      <c r="FO103" s="25"/>
      <c r="FP103" s="25"/>
      <c r="FQ103" s="25"/>
      <c r="FR103" s="25"/>
      <c r="FS103" s="25"/>
      <c r="FT103" s="25"/>
      <c r="FU103" s="25"/>
      <c r="FV103" s="25"/>
      <c r="FW103" s="25"/>
      <c r="FX103" s="25"/>
      <c r="FY103" s="25"/>
      <c r="FZ103" s="25"/>
      <c r="GA103" s="16"/>
      <c r="GB103" s="16"/>
      <c r="GC103" s="16"/>
      <c r="GD103" s="16"/>
      <c r="GE103" s="16"/>
      <c r="GF103" s="16"/>
      <c r="GG103" s="16"/>
      <c r="GH103" s="51"/>
      <c r="GI103" s="51"/>
      <c r="GJ103" s="51"/>
      <c r="GK103" s="51"/>
      <c r="GL103" s="51"/>
      <c r="GM103" s="51"/>
      <c r="GN103"/>
      <c r="GO103"/>
      <c r="GP103"/>
      <c r="GQ103"/>
    </row>
    <row r="104" spans="1:199" s="1" customForma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R104" s="32"/>
      <c r="S104" s="4"/>
      <c r="AJ104" s="32"/>
      <c r="AK104" s="16"/>
      <c r="AL104" s="16"/>
      <c r="AM104" s="16"/>
      <c r="AN104" s="32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32"/>
      <c r="AZ104" s="16"/>
      <c r="BA104" s="16"/>
      <c r="BB104" s="16"/>
      <c r="BC104" s="32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56"/>
      <c r="CU104" s="56"/>
      <c r="CV104" s="56"/>
      <c r="CW104" s="56"/>
      <c r="CX104" s="56"/>
      <c r="CY104" s="56"/>
      <c r="CZ104" s="56"/>
      <c r="DA104" s="56"/>
      <c r="DB104" s="56"/>
      <c r="DC104" s="56"/>
      <c r="DD104" s="56"/>
      <c r="DE104" s="56"/>
      <c r="DF104" s="56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16"/>
      <c r="GB104" s="16"/>
      <c r="GC104" s="16"/>
      <c r="GD104" s="16"/>
      <c r="GE104" s="16"/>
      <c r="GF104" s="16"/>
      <c r="GG104" s="16"/>
      <c r="GH104" s="51"/>
      <c r="GI104" s="51"/>
      <c r="GJ104" s="51"/>
      <c r="GK104" s="51"/>
      <c r="GL104" s="51"/>
      <c r="GM104" s="51"/>
      <c r="GN104"/>
      <c r="GO104"/>
      <c r="GP104"/>
      <c r="GQ104"/>
    </row>
    <row r="105" spans="1:199" s="1" customForma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R105" s="32"/>
      <c r="S105" s="4"/>
      <c r="AJ105" s="32"/>
      <c r="AK105" s="16"/>
      <c r="AL105" s="16"/>
      <c r="AM105" s="16"/>
      <c r="AN105" s="32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32"/>
      <c r="AZ105" s="16"/>
      <c r="BA105" s="16"/>
      <c r="BB105" s="16"/>
      <c r="BC105" s="32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56"/>
      <c r="CU105" s="56"/>
      <c r="CV105" s="56"/>
      <c r="CW105" s="56"/>
      <c r="CX105" s="56"/>
      <c r="CY105" s="56"/>
      <c r="CZ105" s="56"/>
      <c r="DA105" s="56"/>
      <c r="DB105" s="56"/>
      <c r="DC105" s="56"/>
      <c r="DD105" s="56"/>
      <c r="DE105" s="56"/>
      <c r="DF105" s="56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  <c r="DY105" s="12"/>
      <c r="DZ105" s="12"/>
      <c r="EA105" s="12"/>
      <c r="EB105" s="12"/>
      <c r="EC105" s="12"/>
      <c r="ED105" s="12"/>
      <c r="EE105" s="12"/>
      <c r="EF105" s="12"/>
      <c r="EG105" s="12"/>
      <c r="EH105" s="12"/>
      <c r="EI105" s="12"/>
      <c r="EJ105" s="12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  <c r="EU105" s="25"/>
      <c r="EV105" s="25"/>
      <c r="EW105" s="25"/>
      <c r="EX105" s="25"/>
      <c r="EY105" s="25"/>
      <c r="EZ105" s="25"/>
      <c r="FA105" s="25"/>
      <c r="FB105" s="25"/>
      <c r="FC105" s="25"/>
      <c r="FD105" s="25"/>
      <c r="FE105" s="25"/>
      <c r="FF105" s="25"/>
      <c r="FG105" s="25"/>
      <c r="FH105" s="25"/>
      <c r="FI105" s="25"/>
      <c r="FJ105" s="25"/>
      <c r="FK105" s="25"/>
      <c r="FL105" s="25"/>
      <c r="FM105" s="25"/>
      <c r="FN105" s="25"/>
      <c r="FO105" s="25"/>
      <c r="FP105" s="25"/>
      <c r="FQ105" s="25"/>
      <c r="FR105" s="25"/>
      <c r="FS105" s="25"/>
      <c r="FT105" s="25"/>
      <c r="FU105" s="25"/>
      <c r="FV105" s="25"/>
      <c r="FW105" s="25"/>
      <c r="FX105" s="25"/>
      <c r="FY105" s="25"/>
      <c r="FZ105" s="25"/>
      <c r="GA105" s="16"/>
      <c r="GB105" s="16"/>
      <c r="GC105" s="16"/>
      <c r="GD105" s="16"/>
      <c r="GE105" s="16"/>
      <c r="GF105" s="16"/>
      <c r="GG105" s="16"/>
      <c r="GH105" s="51"/>
      <c r="GI105" s="51"/>
      <c r="GJ105" s="51"/>
      <c r="GK105" s="51"/>
      <c r="GL105" s="51"/>
      <c r="GM105" s="51"/>
      <c r="GN105"/>
      <c r="GO105"/>
      <c r="GP105"/>
      <c r="GQ105"/>
    </row>
    <row r="106" spans="1:199" s="1" customForma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R106" s="32"/>
      <c r="S106" s="4"/>
      <c r="AJ106" s="32"/>
      <c r="AK106" s="16"/>
      <c r="AL106" s="16"/>
      <c r="AM106" s="16"/>
      <c r="AN106" s="32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32"/>
      <c r="AZ106" s="16"/>
      <c r="BA106" s="16"/>
      <c r="BB106" s="16"/>
      <c r="BC106" s="32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56"/>
      <c r="CU106" s="56"/>
      <c r="CV106" s="56"/>
      <c r="CW106" s="56"/>
      <c r="CX106" s="56"/>
      <c r="CY106" s="56"/>
      <c r="CZ106" s="56"/>
      <c r="DA106" s="56"/>
      <c r="DB106" s="56"/>
      <c r="DC106" s="56"/>
      <c r="DD106" s="56"/>
      <c r="DE106" s="56"/>
      <c r="DF106" s="56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16"/>
      <c r="GB106" s="16"/>
      <c r="GC106" s="16"/>
      <c r="GD106" s="16"/>
      <c r="GE106" s="16"/>
      <c r="GF106" s="16"/>
      <c r="GG106" s="16"/>
      <c r="GH106" s="51"/>
      <c r="GI106" s="51"/>
      <c r="GJ106" s="51"/>
      <c r="GK106" s="51"/>
      <c r="GL106" s="51"/>
      <c r="GM106" s="51"/>
      <c r="GN106"/>
      <c r="GO106"/>
      <c r="GP106"/>
      <c r="GQ106"/>
    </row>
    <row r="107" spans="1:199" s="1" customForma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R107" s="32"/>
      <c r="S107" s="4"/>
      <c r="AJ107" s="32"/>
      <c r="AK107" s="16"/>
      <c r="AL107" s="16"/>
      <c r="AM107" s="16"/>
      <c r="AN107" s="32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32"/>
      <c r="AZ107" s="16"/>
      <c r="BA107" s="16"/>
      <c r="BB107" s="16"/>
      <c r="BC107" s="32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56"/>
      <c r="CU107" s="56"/>
      <c r="CV107" s="56"/>
      <c r="CW107" s="56"/>
      <c r="CX107" s="56"/>
      <c r="CY107" s="56"/>
      <c r="CZ107" s="56"/>
      <c r="DA107" s="56"/>
      <c r="DB107" s="56"/>
      <c r="DC107" s="56"/>
      <c r="DD107" s="56"/>
      <c r="DE107" s="56"/>
      <c r="DF107" s="56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16"/>
      <c r="GB107" s="16"/>
      <c r="GC107" s="16"/>
      <c r="GD107" s="16"/>
      <c r="GE107" s="16"/>
      <c r="GF107" s="16"/>
      <c r="GG107" s="16"/>
      <c r="GH107" s="51"/>
      <c r="GI107" s="51"/>
      <c r="GJ107" s="51"/>
      <c r="GK107" s="51"/>
      <c r="GL107" s="51"/>
      <c r="GM107" s="51"/>
      <c r="GN107"/>
      <c r="GO107"/>
      <c r="GP107"/>
      <c r="GQ107"/>
    </row>
    <row r="108" spans="1:199" s="1" customForma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R108" s="32"/>
      <c r="S108" s="4"/>
      <c r="AJ108" s="32"/>
      <c r="AK108" s="16"/>
      <c r="AL108" s="16"/>
      <c r="AM108" s="16"/>
      <c r="AN108" s="32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32"/>
      <c r="AZ108" s="16"/>
      <c r="BA108" s="16"/>
      <c r="BB108" s="16"/>
      <c r="BC108" s="32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56"/>
      <c r="CU108" s="56"/>
      <c r="CV108" s="56"/>
      <c r="CW108" s="56"/>
      <c r="CX108" s="56"/>
      <c r="CY108" s="56"/>
      <c r="CZ108" s="56"/>
      <c r="DA108" s="56"/>
      <c r="DB108" s="56"/>
      <c r="DC108" s="56"/>
      <c r="DD108" s="56"/>
      <c r="DE108" s="56"/>
      <c r="DF108" s="56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  <c r="DY108" s="12"/>
      <c r="DZ108" s="12"/>
      <c r="EA108" s="12"/>
      <c r="EB108" s="12"/>
      <c r="EC108" s="12"/>
      <c r="ED108" s="12"/>
      <c r="EE108" s="12"/>
      <c r="EF108" s="12"/>
      <c r="EG108" s="12"/>
      <c r="EH108" s="12"/>
      <c r="EI108" s="12"/>
      <c r="EJ108" s="12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5"/>
      <c r="EY108" s="25"/>
      <c r="EZ108" s="25"/>
      <c r="FA108" s="25"/>
      <c r="FB108" s="25"/>
      <c r="FC108" s="25"/>
      <c r="FD108" s="25"/>
      <c r="FE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16"/>
      <c r="GB108" s="16"/>
      <c r="GC108" s="16"/>
      <c r="GD108" s="16"/>
      <c r="GE108" s="16"/>
      <c r="GF108" s="16"/>
      <c r="GG108" s="16"/>
      <c r="GH108" s="51"/>
      <c r="GI108" s="51"/>
      <c r="GJ108" s="51"/>
      <c r="GK108" s="51"/>
      <c r="GL108" s="51"/>
      <c r="GM108" s="51"/>
      <c r="GN108"/>
      <c r="GO108"/>
      <c r="GP108"/>
      <c r="GQ108"/>
    </row>
    <row r="109" spans="1:199" s="1" customForma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R109" s="32"/>
      <c r="S109" s="4"/>
      <c r="AJ109" s="32"/>
      <c r="AK109" s="16"/>
      <c r="AL109" s="16"/>
      <c r="AM109" s="16"/>
      <c r="AN109" s="32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32"/>
      <c r="AZ109" s="16"/>
      <c r="BA109" s="16"/>
      <c r="BB109" s="16"/>
      <c r="BC109" s="32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56"/>
      <c r="CU109" s="56"/>
      <c r="CV109" s="56"/>
      <c r="CW109" s="56"/>
      <c r="CX109" s="56"/>
      <c r="CY109" s="56"/>
      <c r="CZ109" s="56"/>
      <c r="DA109" s="56"/>
      <c r="DB109" s="56"/>
      <c r="DC109" s="56"/>
      <c r="DD109" s="56"/>
      <c r="DE109" s="56"/>
      <c r="DF109" s="56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  <c r="EU109" s="25"/>
      <c r="EV109" s="25"/>
      <c r="EW109" s="25"/>
      <c r="EX109" s="25"/>
      <c r="EY109" s="25"/>
      <c r="EZ109" s="25"/>
      <c r="FA109" s="25"/>
      <c r="FB109" s="25"/>
      <c r="FC109" s="25"/>
      <c r="FD109" s="25"/>
      <c r="FE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16"/>
      <c r="GB109" s="16"/>
      <c r="GC109" s="16"/>
      <c r="GD109" s="16"/>
      <c r="GE109" s="16"/>
      <c r="GF109" s="16"/>
      <c r="GG109" s="16"/>
      <c r="GH109" s="51"/>
      <c r="GI109" s="51"/>
      <c r="GJ109" s="51"/>
      <c r="GK109" s="51"/>
      <c r="GL109" s="51"/>
      <c r="GM109" s="51"/>
      <c r="GN109"/>
      <c r="GO109"/>
      <c r="GP109"/>
      <c r="GQ109"/>
    </row>
    <row r="110" spans="1:199" s="1" customForma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R110" s="32"/>
      <c r="S110" s="4"/>
      <c r="AJ110" s="32"/>
      <c r="AK110" s="16"/>
      <c r="AL110" s="16"/>
      <c r="AM110" s="16"/>
      <c r="AN110" s="32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32"/>
      <c r="AZ110" s="16"/>
      <c r="BA110" s="16"/>
      <c r="BB110" s="16"/>
      <c r="BC110" s="32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56"/>
      <c r="CU110" s="56"/>
      <c r="CV110" s="56"/>
      <c r="CW110" s="56"/>
      <c r="CX110" s="56"/>
      <c r="CY110" s="56"/>
      <c r="CZ110" s="56"/>
      <c r="DA110" s="56"/>
      <c r="DB110" s="56"/>
      <c r="DC110" s="56"/>
      <c r="DD110" s="56"/>
      <c r="DE110" s="56"/>
      <c r="DF110" s="56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  <c r="EU110" s="25"/>
      <c r="EV110" s="25"/>
      <c r="EW110" s="25"/>
      <c r="EX110" s="25"/>
      <c r="EY110" s="25"/>
      <c r="EZ110" s="25"/>
      <c r="FA110" s="25"/>
      <c r="FB110" s="25"/>
      <c r="FC110" s="25"/>
      <c r="FD110" s="25"/>
      <c r="FE110" s="25"/>
      <c r="FF110" s="25"/>
      <c r="FG110" s="25"/>
      <c r="FH110" s="25"/>
      <c r="FI110" s="25"/>
      <c r="FJ110" s="25"/>
      <c r="FK110" s="25"/>
      <c r="FL110" s="25"/>
      <c r="FM110" s="25"/>
      <c r="FN110" s="25"/>
      <c r="FO110" s="25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16"/>
      <c r="GB110" s="16"/>
      <c r="GC110" s="16"/>
      <c r="GD110" s="16"/>
      <c r="GE110" s="16"/>
      <c r="GF110" s="16"/>
      <c r="GG110" s="16"/>
      <c r="GH110" s="51"/>
      <c r="GI110" s="51"/>
      <c r="GJ110" s="51"/>
      <c r="GK110" s="51"/>
      <c r="GL110" s="51"/>
      <c r="GM110" s="51"/>
      <c r="GN110"/>
      <c r="GO110"/>
      <c r="GP110"/>
      <c r="GQ110"/>
    </row>
    <row r="111" spans="1:199" s="1" customForma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R111" s="32"/>
      <c r="S111" s="4"/>
      <c r="AJ111" s="32"/>
      <c r="AK111" s="16"/>
      <c r="AL111" s="16"/>
      <c r="AM111" s="16"/>
      <c r="AN111" s="32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32"/>
      <c r="AZ111" s="16"/>
      <c r="BA111" s="16"/>
      <c r="BB111" s="16"/>
      <c r="BC111" s="32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56"/>
      <c r="CU111" s="56"/>
      <c r="CV111" s="56"/>
      <c r="CW111" s="56"/>
      <c r="CX111" s="56"/>
      <c r="CY111" s="56"/>
      <c r="CZ111" s="56"/>
      <c r="DA111" s="56"/>
      <c r="DB111" s="56"/>
      <c r="DC111" s="56"/>
      <c r="DD111" s="56"/>
      <c r="DE111" s="56"/>
      <c r="DF111" s="56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  <c r="EU111" s="25"/>
      <c r="EV111" s="25"/>
      <c r="EW111" s="25"/>
      <c r="EX111" s="25"/>
      <c r="EY111" s="25"/>
      <c r="EZ111" s="25"/>
      <c r="FA111" s="25"/>
      <c r="FB111" s="25"/>
      <c r="FC111" s="25"/>
      <c r="FD111" s="25"/>
      <c r="FE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16"/>
      <c r="GB111" s="16"/>
      <c r="GC111" s="16"/>
      <c r="GD111" s="16"/>
      <c r="GE111" s="16"/>
      <c r="GF111" s="16"/>
      <c r="GG111" s="16"/>
      <c r="GH111" s="51"/>
      <c r="GI111" s="51"/>
      <c r="GJ111" s="51"/>
      <c r="GK111" s="51"/>
      <c r="GL111" s="51"/>
      <c r="GM111" s="51"/>
      <c r="GN111"/>
      <c r="GO111"/>
      <c r="GP111"/>
      <c r="GQ111"/>
    </row>
    <row r="112" spans="1:199" s="1" customForma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R112" s="32"/>
      <c r="S112" s="4"/>
      <c r="AJ112" s="32"/>
      <c r="AK112" s="16"/>
      <c r="AL112" s="16"/>
      <c r="AM112" s="16"/>
      <c r="AN112" s="32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32"/>
      <c r="AZ112" s="16"/>
      <c r="BA112" s="16"/>
      <c r="BB112" s="16"/>
      <c r="BC112" s="32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56"/>
      <c r="CU112" s="56"/>
      <c r="CV112" s="56"/>
      <c r="CW112" s="56"/>
      <c r="CX112" s="56"/>
      <c r="CY112" s="56"/>
      <c r="CZ112" s="56"/>
      <c r="DA112" s="56"/>
      <c r="DB112" s="56"/>
      <c r="DC112" s="56"/>
      <c r="DD112" s="56"/>
      <c r="DE112" s="56"/>
      <c r="DF112" s="56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12"/>
      <c r="EK112" s="25"/>
      <c r="EL112" s="25"/>
      <c r="EM112" s="25"/>
      <c r="EN112" s="25"/>
      <c r="EO112" s="25"/>
      <c r="EP112" s="25"/>
      <c r="EQ112" s="25"/>
      <c r="ER112" s="25"/>
      <c r="ES112" s="25"/>
      <c r="ET112" s="25"/>
      <c r="EU112" s="25"/>
      <c r="EV112" s="25"/>
      <c r="EW112" s="25"/>
      <c r="EX112" s="25"/>
      <c r="EY112" s="25"/>
      <c r="EZ112" s="25"/>
      <c r="FA112" s="25"/>
      <c r="FB112" s="25"/>
      <c r="FC112" s="25"/>
      <c r="FD112" s="25"/>
      <c r="FE112" s="25"/>
      <c r="FF112" s="25"/>
      <c r="FG112" s="25"/>
      <c r="FH112" s="25"/>
      <c r="FI112" s="25"/>
      <c r="FJ112" s="25"/>
      <c r="FK112" s="25"/>
      <c r="FL112" s="25"/>
      <c r="FM112" s="25"/>
      <c r="FN112" s="25"/>
      <c r="FO112" s="25"/>
      <c r="FP112" s="2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16"/>
      <c r="GB112" s="16"/>
      <c r="GC112" s="16"/>
      <c r="GD112" s="16"/>
      <c r="GE112" s="16"/>
      <c r="GF112" s="16"/>
      <c r="GG112" s="16"/>
      <c r="GH112" s="51"/>
      <c r="GI112" s="51"/>
      <c r="GJ112" s="51"/>
      <c r="GK112" s="51"/>
      <c r="GL112" s="51"/>
      <c r="GM112" s="51"/>
      <c r="GN112"/>
      <c r="GO112"/>
      <c r="GP112"/>
      <c r="GQ112"/>
    </row>
    <row r="113" spans="1:199" s="1" customForma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R113" s="32"/>
      <c r="S113" s="4"/>
      <c r="AJ113" s="32"/>
      <c r="AK113" s="16"/>
      <c r="AL113" s="16"/>
      <c r="AM113" s="16"/>
      <c r="AN113" s="32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32"/>
      <c r="AZ113" s="16"/>
      <c r="BA113" s="16"/>
      <c r="BB113" s="16"/>
      <c r="BC113" s="32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56"/>
      <c r="CU113" s="56"/>
      <c r="CV113" s="56"/>
      <c r="CW113" s="56"/>
      <c r="CX113" s="56"/>
      <c r="CY113" s="56"/>
      <c r="CZ113" s="56"/>
      <c r="DA113" s="56"/>
      <c r="DB113" s="56"/>
      <c r="DC113" s="56"/>
      <c r="DD113" s="56"/>
      <c r="DE113" s="56"/>
      <c r="DF113" s="56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  <c r="EU113" s="25"/>
      <c r="EV113" s="25"/>
      <c r="EW113" s="25"/>
      <c r="EX113" s="25"/>
      <c r="EY113" s="25"/>
      <c r="EZ113" s="25"/>
      <c r="FA113" s="25"/>
      <c r="FB113" s="25"/>
      <c r="FC113" s="25"/>
      <c r="FD113" s="25"/>
      <c r="FE113" s="25"/>
      <c r="FF113" s="25"/>
      <c r="FG113" s="25"/>
      <c r="FH113" s="25"/>
      <c r="FI113" s="25"/>
      <c r="FJ113" s="25"/>
      <c r="FK113" s="25"/>
      <c r="FL113" s="25"/>
      <c r="FM113" s="25"/>
      <c r="FN113" s="25"/>
      <c r="FO113" s="25"/>
      <c r="FP113" s="2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16"/>
      <c r="GB113" s="16"/>
      <c r="GC113" s="16"/>
      <c r="GD113" s="16"/>
      <c r="GE113" s="16"/>
      <c r="GF113" s="16"/>
      <c r="GG113" s="16"/>
      <c r="GH113" s="51"/>
      <c r="GI113" s="51"/>
      <c r="GJ113" s="51"/>
      <c r="GK113" s="51"/>
      <c r="GL113" s="51"/>
      <c r="GM113" s="51"/>
      <c r="GN113"/>
      <c r="GO113"/>
      <c r="GP113"/>
      <c r="GQ113"/>
    </row>
    <row r="114" spans="1:199" s="1" customForma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R114" s="32"/>
      <c r="S114" s="4"/>
      <c r="AJ114" s="32"/>
      <c r="AK114" s="16"/>
      <c r="AL114" s="16"/>
      <c r="AM114" s="16"/>
      <c r="AN114" s="32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32"/>
      <c r="AZ114" s="16"/>
      <c r="BA114" s="16"/>
      <c r="BB114" s="16"/>
      <c r="BC114" s="32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56"/>
      <c r="CU114" s="56"/>
      <c r="CV114" s="56"/>
      <c r="CW114" s="56"/>
      <c r="CX114" s="56"/>
      <c r="CY114" s="56"/>
      <c r="CZ114" s="56"/>
      <c r="DA114" s="56"/>
      <c r="DB114" s="56"/>
      <c r="DC114" s="56"/>
      <c r="DD114" s="56"/>
      <c r="DE114" s="56"/>
      <c r="DF114" s="56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5"/>
      <c r="EY114" s="25"/>
      <c r="EZ114" s="25"/>
      <c r="FA114" s="25"/>
      <c r="FB114" s="25"/>
      <c r="FC114" s="25"/>
      <c r="FD114" s="25"/>
      <c r="FE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16"/>
      <c r="GB114" s="16"/>
      <c r="GC114" s="16"/>
      <c r="GD114" s="16"/>
      <c r="GE114" s="16"/>
      <c r="GF114" s="16"/>
      <c r="GG114" s="16"/>
      <c r="GH114" s="51"/>
      <c r="GI114" s="51"/>
      <c r="GJ114" s="51"/>
      <c r="GK114" s="51"/>
      <c r="GL114" s="51"/>
      <c r="GM114" s="51"/>
      <c r="GN114"/>
      <c r="GO114"/>
      <c r="GP114"/>
      <c r="GQ114"/>
    </row>
    <row r="115" spans="1:199" s="1" customForma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R115" s="32"/>
      <c r="S115" s="4"/>
      <c r="AJ115" s="32"/>
      <c r="AK115" s="16"/>
      <c r="AL115" s="16"/>
      <c r="AM115" s="16"/>
      <c r="AN115" s="32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32"/>
      <c r="AZ115" s="16"/>
      <c r="BA115" s="16"/>
      <c r="BB115" s="16"/>
      <c r="BC115" s="32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56"/>
      <c r="CU115" s="56"/>
      <c r="CV115" s="56"/>
      <c r="CW115" s="56"/>
      <c r="CX115" s="56"/>
      <c r="CY115" s="56"/>
      <c r="CZ115" s="56"/>
      <c r="DA115" s="56"/>
      <c r="DB115" s="56"/>
      <c r="DC115" s="56"/>
      <c r="DD115" s="56"/>
      <c r="DE115" s="56"/>
      <c r="DF115" s="56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16"/>
      <c r="GB115" s="16"/>
      <c r="GC115" s="16"/>
      <c r="GD115" s="16"/>
      <c r="GE115" s="16"/>
      <c r="GF115" s="16"/>
      <c r="GG115" s="16"/>
      <c r="GH115" s="51"/>
      <c r="GI115" s="51"/>
      <c r="GJ115" s="51"/>
      <c r="GK115" s="51"/>
      <c r="GL115" s="51"/>
      <c r="GM115" s="51"/>
      <c r="GN115"/>
      <c r="GO115"/>
      <c r="GP115"/>
      <c r="GQ115"/>
    </row>
    <row r="116" spans="1:199" s="1" customForma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R116" s="32"/>
      <c r="S116" s="4"/>
      <c r="AJ116" s="32"/>
      <c r="AK116" s="16"/>
      <c r="AL116" s="16"/>
      <c r="AM116" s="16"/>
      <c r="AN116" s="32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32"/>
      <c r="AZ116" s="16"/>
      <c r="BA116" s="16"/>
      <c r="BB116" s="16"/>
      <c r="BC116" s="32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56"/>
      <c r="CU116" s="56"/>
      <c r="CV116" s="56"/>
      <c r="CW116" s="56"/>
      <c r="CX116" s="56"/>
      <c r="CY116" s="56"/>
      <c r="CZ116" s="56"/>
      <c r="DA116" s="56"/>
      <c r="DB116" s="56"/>
      <c r="DC116" s="56"/>
      <c r="DD116" s="56"/>
      <c r="DE116" s="56"/>
      <c r="DF116" s="56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25"/>
      <c r="EL116" s="25"/>
      <c r="EM116" s="25"/>
      <c r="EN116" s="25"/>
      <c r="EO116" s="25"/>
      <c r="EP116" s="25"/>
      <c r="EQ116" s="25"/>
      <c r="ER116" s="25"/>
      <c r="ES116" s="25"/>
      <c r="ET116" s="25"/>
      <c r="EU116" s="25"/>
      <c r="EV116" s="25"/>
      <c r="EW116" s="25"/>
      <c r="EX116" s="25"/>
      <c r="EY116" s="25"/>
      <c r="EZ116" s="25"/>
      <c r="FA116" s="25"/>
      <c r="FB116" s="25"/>
      <c r="FC116" s="25"/>
      <c r="FD116" s="25"/>
      <c r="FE116" s="25"/>
      <c r="FF116" s="25"/>
      <c r="FG116" s="25"/>
      <c r="FH116" s="25"/>
      <c r="FI116" s="25"/>
      <c r="FJ116" s="25"/>
      <c r="FK116" s="25"/>
      <c r="FL116" s="25"/>
      <c r="FM116" s="25"/>
      <c r="FN116" s="25"/>
      <c r="FO116" s="25"/>
      <c r="FP116" s="25"/>
      <c r="FQ116" s="25"/>
      <c r="FR116" s="25"/>
      <c r="FS116" s="25"/>
      <c r="FT116" s="25"/>
      <c r="FU116" s="25"/>
      <c r="FV116" s="25"/>
      <c r="FW116" s="25"/>
      <c r="FX116" s="25"/>
      <c r="FY116" s="25"/>
      <c r="FZ116" s="25"/>
      <c r="GA116" s="16"/>
      <c r="GB116" s="16"/>
      <c r="GC116" s="16"/>
      <c r="GD116" s="16"/>
      <c r="GE116" s="16"/>
      <c r="GF116" s="16"/>
      <c r="GG116" s="16"/>
      <c r="GH116" s="51"/>
      <c r="GI116" s="51"/>
      <c r="GJ116" s="51"/>
      <c r="GK116" s="51"/>
      <c r="GL116" s="51"/>
      <c r="GM116" s="51"/>
      <c r="GN116"/>
      <c r="GO116"/>
      <c r="GP116"/>
      <c r="GQ116"/>
    </row>
    <row r="117" spans="1:199" s="1" customForma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R117" s="32"/>
      <c r="S117" s="4"/>
      <c r="AJ117" s="32"/>
      <c r="AK117" s="16"/>
      <c r="AL117" s="16"/>
      <c r="AM117" s="16"/>
      <c r="AN117" s="32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32"/>
      <c r="AZ117" s="16"/>
      <c r="BA117" s="16"/>
      <c r="BB117" s="16"/>
      <c r="BC117" s="32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56"/>
      <c r="CU117" s="56"/>
      <c r="CV117" s="56"/>
      <c r="CW117" s="56"/>
      <c r="CX117" s="56"/>
      <c r="CY117" s="56"/>
      <c r="CZ117" s="56"/>
      <c r="DA117" s="56"/>
      <c r="DB117" s="56"/>
      <c r="DC117" s="56"/>
      <c r="DD117" s="56"/>
      <c r="DE117" s="56"/>
      <c r="DF117" s="56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25"/>
      <c r="EL117" s="25"/>
      <c r="EM117" s="25"/>
      <c r="EN117" s="25"/>
      <c r="EO117" s="25"/>
      <c r="EP117" s="25"/>
      <c r="EQ117" s="25"/>
      <c r="ER117" s="25"/>
      <c r="ES117" s="25"/>
      <c r="ET117" s="25"/>
      <c r="EU117" s="25"/>
      <c r="EV117" s="25"/>
      <c r="EW117" s="25"/>
      <c r="EX117" s="25"/>
      <c r="EY117" s="25"/>
      <c r="EZ117" s="25"/>
      <c r="FA117" s="25"/>
      <c r="FB117" s="25"/>
      <c r="FC117" s="25"/>
      <c r="FD117" s="25"/>
      <c r="FE117" s="25"/>
      <c r="FF117" s="25"/>
      <c r="FG117" s="25"/>
      <c r="FH117" s="25"/>
      <c r="FI117" s="25"/>
      <c r="FJ117" s="25"/>
      <c r="FK117" s="25"/>
      <c r="FL117" s="25"/>
      <c r="FM117" s="25"/>
      <c r="FN117" s="25"/>
      <c r="FO117" s="25"/>
      <c r="FP117" s="25"/>
      <c r="FQ117" s="25"/>
      <c r="FR117" s="25"/>
      <c r="FS117" s="25"/>
      <c r="FT117" s="25"/>
      <c r="FU117" s="25"/>
      <c r="FV117" s="25"/>
      <c r="FW117" s="25"/>
      <c r="FX117" s="25"/>
      <c r="FY117" s="25"/>
      <c r="FZ117" s="25"/>
      <c r="GA117" s="16"/>
      <c r="GB117" s="16"/>
      <c r="GC117" s="16"/>
      <c r="GD117" s="16"/>
      <c r="GE117" s="16"/>
      <c r="GF117" s="16"/>
      <c r="GG117" s="16"/>
      <c r="GH117" s="51"/>
      <c r="GI117" s="51"/>
      <c r="GJ117" s="51"/>
      <c r="GK117" s="51"/>
      <c r="GL117" s="51"/>
      <c r="GM117" s="51"/>
      <c r="GN117"/>
      <c r="GO117"/>
      <c r="GP117"/>
      <c r="GQ117"/>
    </row>
    <row r="118" spans="1:199" s="1" customForma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R118" s="32"/>
      <c r="S118" s="4"/>
      <c r="AJ118" s="32"/>
      <c r="AK118" s="16"/>
      <c r="AL118" s="16"/>
      <c r="AM118" s="16"/>
      <c r="AN118" s="32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32"/>
      <c r="AZ118" s="16"/>
      <c r="BA118" s="16"/>
      <c r="BB118" s="16"/>
      <c r="BC118" s="32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56"/>
      <c r="CU118" s="56"/>
      <c r="CV118" s="56"/>
      <c r="CW118" s="56"/>
      <c r="CX118" s="56"/>
      <c r="CY118" s="56"/>
      <c r="CZ118" s="56"/>
      <c r="DA118" s="56"/>
      <c r="DB118" s="56"/>
      <c r="DC118" s="56"/>
      <c r="DD118" s="56"/>
      <c r="DE118" s="56"/>
      <c r="DF118" s="56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  <c r="DY118" s="12"/>
      <c r="DZ118" s="12"/>
      <c r="EA118" s="12"/>
      <c r="EB118" s="12"/>
      <c r="EC118" s="12"/>
      <c r="ED118" s="12"/>
      <c r="EE118" s="12"/>
      <c r="EF118" s="12"/>
      <c r="EG118" s="12"/>
      <c r="EH118" s="12"/>
      <c r="EI118" s="12"/>
      <c r="EJ118" s="12"/>
      <c r="EK118" s="25"/>
      <c r="EL118" s="25"/>
      <c r="EM118" s="25"/>
      <c r="EN118" s="25"/>
      <c r="EO118" s="25"/>
      <c r="EP118" s="25"/>
      <c r="EQ118" s="25"/>
      <c r="ER118" s="25"/>
      <c r="ES118" s="25"/>
      <c r="ET118" s="25"/>
      <c r="EU118" s="25"/>
      <c r="EV118" s="25"/>
      <c r="EW118" s="25"/>
      <c r="EX118" s="25"/>
      <c r="EY118" s="25"/>
      <c r="EZ118" s="25"/>
      <c r="FA118" s="25"/>
      <c r="FB118" s="25"/>
      <c r="FC118" s="25"/>
      <c r="FD118" s="25"/>
      <c r="FE118" s="25"/>
      <c r="FF118" s="25"/>
      <c r="FG118" s="25"/>
      <c r="FH118" s="25"/>
      <c r="FI118" s="25"/>
      <c r="FJ118" s="25"/>
      <c r="FK118" s="25"/>
      <c r="FL118" s="25"/>
      <c r="FM118" s="25"/>
      <c r="FN118" s="25"/>
      <c r="FO118" s="25"/>
      <c r="FP118" s="25"/>
      <c r="FQ118" s="25"/>
      <c r="FR118" s="25"/>
      <c r="FS118" s="25"/>
      <c r="FT118" s="25"/>
      <c r="FU118" s="25"/>
      <c r="FV118" s="25"/>
      <c r="FW118" s="25"/>
      <c r="FX118" s="25"/>
      <c r="FY118" s="25"/>
      <c r="FZ118" s="25"/>
      <c r="GA118" s="16"/>
      <c r="GB118" s="16"/>
      <c r="GC118" s="16"/>
      <c r="GD118" s="16"/>
      <c r="GE118" s="16"/>
      <c r="GF118" s="16"/>
      <c r="GG118" s="16"/>
      <c r="GH118" s="51"/>
      <c r="GI118" s="51"/>
      <c r="GJ118" s="51"/>
      <c r="GK118" s="51"/>
      <c r="GL118" s="51"/>
      <c r="GM118" s="51"/>
      <c r="GN118"/>
      <c r="GO118"/>
      <c r="GP118"/>
      <c r="GQ118"/>
    </row>
    <row r="119" spans="1:199" s="1" customForma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R119" s="32"/>
      <c r="S119" s="4"/>
      <c r="AJ119" s="32"/>
      <c r="AK119" s="16"/>
      <c r="AL119" s="16"/>
      <c r="AM119" s="16"/>
      <c r="AN119" s="32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32"/>
      <c r="AZ119" s="16"/>
      <c r="BA119" s="16"/>
      <c r="BB119" s="16"/>
      <c r="BC119" s="32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56"/>
      <c r="CU119" s="56"/>
      <c r="CV119" s="56"/>
      <c r="CW119" s="56"/>
      <c r="CX119" s="56"/>
      <c r="CY119" s="56"/>
      <c r="CZ119" s="56"/>
      <c r="DA119" s="56"/>
      <c r="DB119" s="56"/>
      <c r="DC119" s="56"/>
      <c r="DD119" s="56"/>
      <c r="DE119" s="56"/>
      <c r="DF119" s="56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  <c r="DY119" s="12"/>
      <c r="DZ119" s="12"/>
      <c r="EA119" s="12"/>
      <c r="EB119" s="12"/>
      <c r="EC119" s="12"/>
      <c r="ED119" s="12"/>
      <c r="EE119" s="12"/>
      <c r="EF119" s="12"/>
      <c r="EG119" s="12"/>
      <c r="EH119" s="12"/>
      <c r="EI119" s="12"/>
      <c r="EJ119" s="12"/>
      <c r="EK119" s="25"/>
      <c r="EL119" s="25"/>
      <c r="EM119" s="25"/>
      <c r="EN119" s="25"/>
      <c r="EO119" s="25"/>
      <c r="EP119" s="25"/>
      <c r="EQ119" s="25"/>
      <c r="ER119" s="25"/>
      <c r="ES119" s="25"/>
      <c r="ET119" s="25"/>
      <c r="EU119" s="25"/>
      <c r="EV119" s="25"/>
      <c r="EW119" s="25"/>
      <c r="EX119" s="25"/>
      <c r="EY119" s="25"/>
      <c r="EZ119" s="25"/>
      <c r="FA119" s="25"/>
      <c r="FB119" s="25"/>
      <c r="FC119" s="25"/>
      <c r="FD119" s="25"/>
      <c r="FE119" s="25"/>
      <c r="FF119" s="25"/>
      <c r="FG119" s="25"/>
      <c r="FH119" s="25"/>
      <c r="FI119" s="25"/>
      <c r="FJ119" s="25"/>
      <c r="FK119" s="25"/>
      <c r="FL119" s="25"/>
      <c r="FM119" s="25"/>
      <c r="FN119" s="25"/>
      <c r="FO119" s="25"/>
      <c r="FP119" s="25"/>
      <c r="FQ119" s="25"/>
      <c r="FR119" s="25"/>
      <c r="FS119" s="25"/>
      <c r="FT119" s="25"/>
      <c r="FU119" s="25"/>
      <c r="FV119" s="25"/>
      <c r="FW119" s="25"/>
      <c r="FX119" s="25"/>
      <c r="FY119" s="25"/>
      <c r="FZ119" s="25"/>
      <c r="GA119" s="16"/>
      <c r="GB119" s="16"/>
      <c r="GC119" s="16"/>
      <c r="GD119" s="16"/>
      <c r="GE119" s="16"/>
      <c r="GF119" s="16"/>
      <c r="GG119" s="16"/>
      <c r="GH119" s="51"/>
      <c r="GI119" s="51"/>
      <c r="GJ119" s="51"/>
      <c r="GK119" s="51"/>
      <c r="GL119" s="51"/>
      <c r="GM119" s="51"/>
      <c r="GN119"/>
      <c r="GO119"/>
      <c r="GP119"/>
      <c r="GQ119"/>
    </row>
    <row r="120" spans="1:199" s="1" customForma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R120" s="32"/>
      <c r="S120" s="4"/>
      <c r="AJ120" s="32"/>
      <c r="AK120" s="16"/>
      <c r="AL120" s="16"/>
      <c r="AM120" s="16"/>
      <c r="AN120" s="32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32"/>
      <c r="AZ120" s="16"/>
      <c r="BA120" s="16"/>
      <c r="BB120" s="16"/>
      <c r="BC120" s="32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56"/>
      <c r="CU120" s="56"/>
      <c r="CV120" s="56"/>
      <c r="CW120" s="56"/>
      <c r="CX120" s="56"/>
      <c r="CY120" s="56"/>
      <c r="CZ120" s="56"/>
      <c r="DA120" s="56"/>
      <c r="DB120" s="56"/>
      <c r="DC120" s="56"/>
      <c r="DD120" s="56"/>
      <c r="DE120" s="56"/>
      <c r="DF120" s="56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25"/>
      <c r="EL120" s="25"/>
      <c r="EM120" s="25"/>
      <c r="EN120" s="25"/>
      <c r="EO120" s="25"/>
      <c r="EP120" s="25"/>
      <c r="EQ120" s="25"/>
      <c r="ER120" s="25"/>
      <c r="ES120" s="25"/>
      <c r="ET120" s="25"/>
      <c r="EU120" s="25"/>
      <c r="EV120" s="25"/>
      <c r="EW120" s="25"/>
      <c r="EX120" s="25"/>
      <c r="EY120" s="25"/>
      <c r="EZ120" s="25"/>
      <c r="FA120" s="25"/>
      <c r="FB120" s="25"/>
      <c r="FC120" s="25"/>
      <c r="FD120" s="25"/>
      <c r="FE120" s="25"/>
      <c r="FF120" s="25"/>
      <c r="FG120" s="25"/>
      <c r="FH120" s="25"/>
      <c r="FI120" s="25"/>
      <c r="FJ120" s="25"/>
      <c r="FK120" s="25"/>
      <c r="FL120" s="25"/>
      <c r="FM120" s="25"/>
      <c r="FN120" s="25"/>
      <c r="FO120" s="25"/>
      <c r="FP120" s="25"/>
      <c r="FQ120" s="25"/>
      <c r="FR120" s="25"/>
      <c r="FS120" s="25"/>
      <c r="FT120" s="25"/>
      <c r="FU120" s="25"/>
      <c r="FV120" s="25"/>
      <c r="FW120" s="25"/>
      <c r="FX120" s="25"/>
      <c r="FY120" s="25"/>
      <c r="FZ120" s="25"/>
      <c r="GA120" s="16"/>
      <c r="GB120" s="16"/>
      <c r="GC120" s="16"/>
      <c r="GD120" s="16"/>
      <c r="GE120" s="16"/>
      <c r="GF120" s="16"/>
      <c r="GG120" s="16"/>
      <c r="GH120" s="51"/>
      <c r="GI120" s="51"/>
      <c r="GJ120" s="51"/>
      <c r="GK120" s="51"/>
      <c r="GL120" s="51"/>
      <c r="GM120" s="51"/>
      <c r="GN120"/>
      <c r="GO120"/>
      <c r="GP120"/>
      <c r="GQ120"/>
    </row>
    <row r="121" spans="1:199" s="1" customForma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R121" s="32"/>
      <c r="S121" s="4"/>
      <c r="AJ121" s="32"/>
      <c r="AK121" s="16"/>
      <c r="AL121" s="16"/>
      <c r="AM121" s="16"/>
      <c r="AN121" s="32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32"/>
      <c r="AZ121" s="16"/>
      <c r="BA121" s="16"/>
      <c r="BB121" s="16"/>
      <c r="BC121" s="32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56"/>
      <c r="CU121" s="56"/>
      <c r="CV121" s="56"/>
      <c r="CW121" s="56"/>
      <c r="CX121" s="56"/>
      <c r="CY121" s="56"/>
      <c r="CZ121" s="56"/>
      <c r="DA121" s="56"/>
      <c r="DB121" s="56"/>
      <c r="DC121" s="56"/>
      <c r="DD121" s="56"/>
      <c r="DE121" s="56"/>
      <c r="DF121" s="56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  <c r="EF121" s="12"/>
      <c r="EG121" s="12"/>
      <c r="EH121" s="12"/>
      <c r="EI121" s="12"/>
      <c r="EJ121" s="12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  <c r="EU121" s="25"/>
      <c r="EV121" s="25"/>
      <c r="EW121" s="25"/>
      <c r="EX121" s="25"/>
      <c r="EY121" s="25"/>
      <c r="EZ121" s="25"/>
      <c r="FA121" s="25"/>
      <c r="FB121" s="25"/>
      <c r="FC121" s="25"/>
      <c r="FD121" s="25"/>
      <c r="FE121" s="25"/>
      <c r="FF121" s="25"/>
      <c r="FG121" s="25"/>
      <c r="FH121" s="25"/>
      <c r="FI121" s="25"/>
      <c r="FJ121" s="25"/>
      <c r="FK121" s="25"/>
      <c r="FL121" s="25"/>
      <c r="FM121" s="25"/>
      <c r="FN121" s="25"/>
      <c r="FO121" s="25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16"/>
      <c r="GB121" s="16"/>
      <c r="GC121" s="16"/>
      <c r="GD121" s="16"/>
      <c r="GE121" s="16"/>
      <c r="GF121" s="16"/>
      <c r="GG121" s="16"/>
      <c r="GH121" s="51"/>
      <c r="GI121" s="51"/>
      <c r="GJ121" s="51"/>
      <c r="GK121" s="51"/>
      <c r="GL121" s="51"/>
      <c r="GM121" s="51"/>
      <c r="GN121"/>
      <c r="GO121"/>
      <c r="GP121"/>
      <c r="GQ121"/>
    </row>
    <row r="122" spans="1:199" s="1" customForma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R122" s="32"/>
      <c r="S122" s="4"/>
      <c r="AJ122" s="32"/>
      <c r="AK122" s="16"/>
      <c r="AL122" s="16"/>
      <c r="AM122" s="16"/>
      <c r="AN122" s="32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32"/>
      <c r="AZ122" s="16"/>
      <c r="BA122" s="16"/>
      <c r="BB122" s="16"/>
      <c r="BC122" s="32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56"/>
      <c r="CU122" s="56"/>
      <c r="CV122" s="56"/>
      <c r="CW122" s="56"/>
      <c r="CX122" s="56"/>
      <c r="CY122" s="56"/>
      <c r="CZ122" s="56"/>
      <c r="DA122" s="56"/>
      <c r="DB122" s="56"/>
      <c r="DC122" s="56"/>
      <c r="DD122" s="56"/>
      <c r="DE122" s="56"/>
      <c r="DF122" s="56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  <c r="DY122" s="12"/>
      <c r="DZ122" s="12"/>
      <c r="EA122" s="12"/>
      <c r="EB122" s="12"/>
      <c r="EC122" s="12"/>
      <c r="ED122" s="12"/>
      <c r="EE122" s="12"/>
      <c r="EF122" s="12"/>
      <c r="EG122" s="12"/>
      <c r="EH122" s="12"/>
      <c r="EI122" s="12"/>
      <c r="EJ122" s="12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  <c r="EU122" s="25"/>
      <c r="EV122" s="25"/>
      <c r="EW122" s="25"/>
      <c r="EX122" s="25"/>
      <c r="EY122" s="25"/>
      <c r="EZ122" s="25"/>
      <c r="FA122" s="25"/>
      <c r="FB122" s="25"/>
      <c r="FC122" s="25"/>
      <c r="FD122" s="25"/>
      <c r="FE122" s="25"/>
      <c r="FF122" s="25"/>
      <c r="FG122" s="25"/>
      <c r="FH122" s="25"/>
      <c r="FI122" s="25"/>
      <c r="FJ122" s="25"/>
      <c r="FK122" s="25"/>
      <c r="FL122" s="25"/>
      <c r="FM122" s="25"/>
      <c r="FN122" s="25"/>
      <c r="FO122" s="25"/>
      <c r="FP122" s="25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16"/>
      <c r="GB122" s="16"/>
      <c r="GC122" s="16"/>
      <c r="GD122" s="16"/>
      <c r="GE122" s="16"/>
      <c r="GF122" s="16"/>
      <c r="GG122" s="16"/>
      <c r="GH122" s="51"/>
      <c r="GI122" s="51"/>
      <c r="GJ122" s="51"/>
      <c r="GK122" s="51"/>
      <c r="GL122" s="51"/>
      <c r="GM122" s="51"/>
      <c r="GN122"/>
      <c r="GO122"/>
      <c r="GP122"/>
      <c r="GQ122"/>
    </row>
    <row r="123" spans="1:199" s="1" customForma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R123" s="32"/>
      <c r="S123" s="4"/>
      <c r="AJ123" s="32"/>
      <c r="AK123" s="16"/>
      <c r="AL123" s="16"/>
      <c r="AM123" s="16"/>
      <c r="AN123" s="32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32"/>
      <c r="AZ123" s="16"/>
      <c r="BA123" s="16"/>
      <c r="BB123" s="16"/>
      <c r="BC123" s="32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56"/>
      <c r="CU123" s="56"/>
      <c r="CV123" s="56"/>
      <c r="CW123" s="56"/>
      <c r="CX123" s="56"/>
      <c r="CY123" s="56"/>
      <c r="CZ123" s="56"/>
      <c r="DA123" s="56"/>
      <c r="DB123" s="56"/>
      <c r="DC123" s="56"/>
      <c r="DD123" s="56"/>
      <c r="DE123" s="56"/>
      <c r="DF123" s="56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25"/>
      <c r="EL123" s="25"/>
      <c r="EM123" s="25"/>
      <c r="EN123" s="25"/>
      <c r="EO123" s="25"/>
      <c r="EP123" s="25"/>
      <c r="EQ123" s="25"/>
      <c r="ER123" s="25"/>
      <c r="ES123" s="25"/>
      <c r="ET123" s="25"/>
      <c r="EU123" s="25"/>
      <c r="EV123" s="25"/>
      <c r="EW123" s="25"/>
      <c r="EX123" s="25"/>
      <c r="EY123" s="25"/>
      <c r="EZ123" s="25"/>
      <c r="FA123" s="25"/>
      <c r="FB123" s="25"/>
      <c r="FC123" s="25"/>
      <c r="FD123" s="25"/>
      <c r="FE123" s="25"/>
      <c r="FF123" s="25"/>
      <c r="FG123" s="25"/>
      <c r="FH123" s="25"/>
      <c r="FI123" s="25"/>
      <c r="FJ123" s="25"/>
      <c r="FK123" s="25"/>
      <c r="FL123" s="25"/>
      <c r="FM123" s="25"/>
      <c r="FN123" s="25"/>
      <c r="FO123" s="25"/>
      <c r="FP123" s="25"/>
      <c r="FQ123" s="25"/>
      <c r="FR123" s="25"/>
      <c r="FS123" s="25"/>
      <c r="FT123" s="25"/>
      <c r="FU123" s="25"/>
      <c r="FV123" s="25"/>
      <c r="FW123" s="25"/>
      <c r="FX123" s="25"/>
      <c r="FY123" s="25"/>
      <c r="FZ123" s="25"/>
      <c r="GA123" s="16"/>
      <c r="GB123" s="16"/>
      <c r="GC123" s="16"/>
      <c r="GD123" s="16"/>
      <c r="GE123" s="16"/>
      <c r="GF123" s="16"/>
      <c r="GG123" s="16"/>
      <c r="GH123" s="51"/>
      <c r="GI123" s="51"/>
      <c r="GJ123" s="51"/>
      <c r="GK123" s="51"/>
      <c r="GL123" s="51"/>
      <c r="GM123" s="51"/>
      <c r="GN123"/>
      <c r="GO123"/>
      <c r="GP123"/>
      <c r="GQ123"/>
    </row>
    <row r="124" spans="1:199" s="1" customForma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R124" s="32"/>
      <c r="S124" s="4"/>
      <c r="AJ124" s="32"/>
      <c r="AK124" s="16"/>
      <c r="AL124" s="16"/>
      <c r="AM124" s="16"/>
      <c r="AN124" s="32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32"/>
      <c r="AZ124" s="16"/>
      <c r="BA124" s="16"/>
      <c r="BB124" s="16"/>
      <c r="BC124" s="32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56"/>
      <c r="CU124" s="56"/>
      <c r="CV124" s="56"/>
      <c r="CW124" s="56"/>
      <c r="CX124" s="56"/>
      <c r="CY124" s="56"/>
      <c r="CZ124" s="56"/>
      <c r="DA124" s="56"/>
      <c r="DB124" s="56"/>
      <c r="DC124" s="56"/>
      <c r="DD124" s="56"/>
      <c r="DE124" s="56"/>
      <c r="DF124" s="56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  <c r="DY124" s="12"/>
      <c r="DZ124" s="12"/>
      <c r="EA124" s="12"/>
      <c r="EB124" s="12"/>
      <c r="EC124" s="12"/>
      <c r="ED124" s="12"/>
      <c r="EE124" s="12"/>
      <c r="EF124" s="12"/>
      <c r="EG124" s="12"/>
      <c r="EH124" s="12"/>
      <c r="EI124" s="12"/>
      <c r="EJ124" s="12"/>
      <c r="EK124" s="25"/>
      <c r="EL124" s="25"/>
      <c r="EM124" s="25"/>
      <c r="EN124" s="25"/>
      <c r="EO124" s="25"/>
      <c r="EP124" s="25"/>
      <c r="EQ124" s="25"/>
      <c r="ER124" s="25"/>
      <c r="ES124" s="25"/>
      <c r="ET124" s="25"/>
      <c r="EU124" s="25"/>
      <c r="EV124" s="25"/>
      <c r="EW124" s="25"/>
      <c r="EX124" s="25"/>
      <c r="EY124" s="25"/>
      <c r="EZ124" s="25"/>
      <c r="FA124" s="25"/>
      <c r="FB124" s="25"/>
      <c r="FC124" s="25"/>
      <c r="FD124" s="25"/>
      <c r="FE124" s="25"/>
      <c r="FF124" s="25"/>
      <c r="FG124" s="25"/>
      <c r="FH124" s="25"/>
      <c r="FI124" s="25"/>
      <c r="FJ124" s="25"/>
      <c r="FK124" s="25"/>
      <c r="FL124" s="25"/>
      <c r="FM124" s="25"/>
      <c r="FN124" s="25"/>
      <c r="FO124" s="25"/>
      <c r="FP124" s="25"/>
      <c r="FQ124" s="25"/>
      <c r="FR124" s="25"/>
      <c r="FS124" s="25"/>
      <c r="FT124" s="25"/>
      <c r="FU124" s="25"/>
      <c r="FV124" s="25"/>
      <c r="FW124" s="25"/>
      <c r="FX124" s="25"/>
      <c r="FY124" s="25"/>
      <c r="FZ124" s="25"/>
      <c r="GA124" s="16"/>
      <c r="GB124" s="16"/>
      <c r="GC124" s="16"/>
      <c r="GD124" s="16"/>
      <c r="GE124" s="16"/>
      <c r="GF124" s="16"/>
      <c r="GG124" s="16"/>
      <c r="GH124" s="51"/>
      <c r="GI124" s="51"/>
      <c r="GJ124" s="51"/>
      <c r="GK124" s="51"/>
      <c r="GL124" s="51"/>
      <c r="GM124" s="51"/>
      <c r="GN124"/>
      <c r="GO124"/>
      <c r="GP124"/>
      <c r="GQ124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2</vt:i4>
      </vt:variant>
    </vt:vector>
  </HeadingPairs>
  <TitlesOfParts>
    <vt:vector size="9" baseType="lpstr">
      <vt:lpstr>All data</vt:lpstr>
      <vt:lpstr>FS </vt:lpstr>
      <vt:lpstr> raw FS</vt:lpstr>
      <vt:lpstr>EPG </vt:lpstr>
      <vt:lpstr>Med</vt:lpstr>
      <vt:lpstr>METs poster</vt:lpstr>
      <vt:lpstr>Sheet2</vt:lpstr>
      <vt:lpstr>VO2pk vs CRpk</vt:lpstr>
      <vt:lpstr>VO2pk vs CRaverage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Louisa</dc:creator>
  <cp:lastModifiedBy>Louisa</cp:lastModifiedBy>
  <dcterms:created xsi:type="dcterms:W3CDTF">2013-02-24T14:52:29Z</dcterms:created>
  <dcterms:modified xsi:type="dcterms:W3CDTF">2021-02-19T17:14:01Z</dcterms:modified>
</cp:coreProperties>
</file>