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8_{53312FF7-AD9E-4A56-9115-821FAE47BF61}" xr6:coauthVersionLast="36" xr6:coauthVersionMax="36" xr10:uidLastSave="{00000000-0000-0000-0000-000000000000}"/>
  <bookViews>
    <workbookView xWindow="240" yWindow="105" windowWidth="14805" windowHeight="8010" tabRatio="797" xr2:uid="{00000000-000D-0000-FFFF-FFFF00000000}"/>
  </bookViews>
  <sheets>
    <sheet name="Head value " sheetId="19" r:id="rId1"/>
    <sheet name="matric potential vs distance" sheetId="14" r:id="rId2"/>
    <sheet name="g-level" sheetId="17" r:id="rId3"/>
    <sheet name="Vm" sheetId="18" r:id="rId4"/>
    <sheet name="Ku" sheetId="21" r:id="rId5"/>
  </sheets>
  <calcPr calcId="191029"/>
</workbook>
</file>

<file path=xl/calcChain.xml><?xml version="1.0" encoding="utf-8"?>
<calcChain xmlns="http://schemas.openxmlformats.org/spreadsheetml/2006/main">
  <c r="K22" i="21" l="1"/>
  <c r="J22" i="21"/>
  <c r="L22" i="21" s="1"/>
  <c r="M22" i="21" s="1"/>
  <c r="H5" i="19" l="1"/>
  <c r="H6" i="19"/>
  <c r="H7" i="19"/>
  <c r="H8" i="19"/>
  <c r="H9" i="19"/>
  <c r="H10" i="19"/>
  <c r="U62" i="21" l="1"/>
  <c r="U63" i="21"/>
  <c r="U64" i="21"/>
  <c r="U61" i="21"/>
  <c r="J55" i="21"/>
  <c r="L55" i="21" s="1"/>
  <c r="H55" i="21"/>
  <c r="J54" i="21"/>
  <c r="H54" i="21"/>
  <c r="J53" i="21"/>
  <c r="L53" i="21" s="1"/>
  <c r="H53" i="21"/>
  <c r="J52" i="21"/>
  <c r="L52" i="21" s="1"/>
  <c r="H52" i="21"/>
  <c r="J51" i="21"/>
  <c r="L51" i="21" s="1"/>
  <c r="H51" i="21"/>
  <c r="J50" i="21"/>
  <c r="L50" i="21" s="1"/>
  <c r="M50" i="21" s="1"/>
  <c r="H7" i="21"/>
  <c r="H27" i="21"/>
  <c r="H17" i="21"/>
  <c r="K17" i="21" s="1"/>
  <c r="H3" i="21"/>
  <c r="H4" i="21"/>
  <c r="H5" i="21"/>
  <c r="H6" i="21"/>
  <c r="J17" i="21"/>
  <c r="J16" i="21"/>
  <c r="H16" i="21"/>
  <c r="K16" i="21" s="1"/>
  <c r="J15" i="21"/>
  <c r="H15" i="21"/>
  <c r="K15" i="21" s="1"/>
  <c r="J14" i="21"/>
  <c r="H14" i="21"/>
  <c r="K14" i="21" s="1"/>
  <c r="J13" i="21"/>
  <c r="H13" i="21"/>
  <c r="K13" i="21" s="1"/>
  <c r="K12" i="21"/>
  <c r="J12" i="21"/>
  <c r="J44" i="21"/>
  <c r="H44" i="21"/>
  <c r="K44" i="21" s="1"/>
  <c r="J43" i="21"/>
  <c r="H43" i="21"/>
  <c r="K43" i="21" s="1"/>
  <c r="J42" i="21"/>
  <c r="H42" i="21"/>
  <c r="K42" i="21" s="1"/>
  <c r="J41" i="21"/>
  <c r="H41" i="21"/>
  <c r="K41" i="21" s="1"/>
  <c r="J40" i="21"/>
  <c r="H40" i="21"/>
  <c r="K40" i="21" s="1"/>
  <c r="K39" i="21"/>
  <c r="J39" i="21"/>
  <c r="K2" i="21"/>
  <c r="L42" i="21" l="1"/>
  <c r="M42" i="21" s="1"/>
  <c r="L17" i="21"/>
  <c r="L12" i="21"/>
  <c r="M12" i="21" s="1"/>
  <c r="L39" i="21"/>
  <c r="M39" i="21" s="1"/>
  <c r="L54" i="21"/>
  <c r="M54" i="21" s="1"/>
  <c r="M52" i="21"/>
  <c r="M53" i="21"/>
  <c r="M51" i="21"/>
  <c r="L13" i="21"/>
  <c r="M13" i="21" s="1"/>
  <c r="L40" i="21"/>
  <c r="M40" i="21" s="1"/>
  <c r="L14" i="21"/>
  <c r="M14" i="21" s="1"/>
  <c r="L15" i="21"/>
  <c r="M15" i="21" s="1"/>
  <c r="L16" i="21"/>
  <c r="M16" i="21" s="1"/>
  <c r="L44" i="21"/>
  <c r="L41" i="21"/>
  <c r="M41" i="21" s="1"/>
  <c r="L43" i="21"/>
  <c r="M43" i="21" s="1"/>
  <c r="B14" i="18"/>
  <c r="D8" i="18"/>
  <c r="J35" i="21" l="1"/>
  <c r="H35" i="21"/>
  <c r="K35" i="21" s="1"/>
  <c r="J34" i="21"/>
  <c r="H34" i="21"/>
  <c r="K34" i="21" s="1"/>
  <c r="J33" i="21"/>
  <c r="H33" i="21"/>
  <c r="K33" i="21" s="1"/>
  <c r="J32" i="21"/>
  <c r="H32" i="21"/>
  <c r="K32" i="21" s="1"/>
  <c r="J31" i="21"/>
  <c r="H31" i="21"/>
  <c r="K31" i="21" s="1"/>
  <c r="K30" i="21"/>
  <c r="J30" i="21"/>
  <c r="J27" i="21"/>
  <c r="K27" i="21"/>
  <c r="J26" i="21"/>
  <c r="H26" i="21"/>
  <c r="K26" i="21" s="1"/>
  <c r="J25" i="21"/>
  <c r="H25" i="21"/>
  <c r="K25" i="21" s="1"/>
  <c r="J24" i="21"/>
  <c r="H24" i="21"/>
  <c r="K24" i="21" s="1"/>
  <c r="J23" i="21"/>
  <c r="H23" i="21"/>
  <c r="K23" i="21" s="1"/>
  <c r="J3" i="21"/>
  <c r="J4" i="21"/>
  <c r="J5" i="21"/>
  <c r="J6" i="21"/>
  <c r="J7" i="21"/>
  <c r="J2" i="21"/>
  <c r="L2" i="21" s="1"/>
  <c r="K7" i="21"/>
  <c r="K4" i="21"/>
  <c r="K5" i="21"/>
  <c r="K6" i="21"/>
  <c r="K3" i="21"/>
  <c r="L30" i="21" l="1"/>
  <c r="M30" i="21" s="1"/>
  <c r="L23" i="21"/>
  <c r="M23" i="21" s="1"/>
  <c r="L33" i="21"/>
  <c r="M33" i="21" s="1"/>
  <c r="L3" i="21"/>
  <c r="M3" i="21" s="1"/>
  <c r="L6" i="21"/>
  <c r="M6" i="21" s="1"/>
  <c r="L5" i="21"/>
  <c r="M5" i="21" s="1"/>
  <c r="L26" i="21"/>
  <c r="M26" i="21" s="1"/>
  <c r="L32" i="21"/>
  <c r="M32" i="21" s="1"/>
  <c r="L4" i="21"/>
  <c r="M4" i="21" s="1"/>
  <c r="L24" i="21"/>
  <c r="M24" i="21" s="1"/>
  <c r="L34" i="21"/>
  <c r="M34" i="21" s="1"/>
  <c r="L7" i="21"/>
  <c r="L25" i="21"/>
  <c r="M25" i="21" s="1"/>
  <c r="L31" i="21"/>
  <c r="M31" i="21" s="1"/>
  <c r="L27" i="21"/>
  <c r="L35" i="21"/>
  <c r="M2" i="21"/>
  <c r="B17" i="18" l="1"/>
  <c r="B18" i="18" s="1"/>
  <c r="M11" i="14"/>
  <c r="Q4" i="18" l="1"/>
  <c r="Q5" i="18"/>
  <c r="Q6" i="18"/>
  <c r="Q7" i="18"/>
  <c r="Q8" i="18"/>
  <c r="R8" i="18" s="1"/>
  <c r="Q3" i="18"/>
  <c r="O6" i="19"/>
  <c r="L6" i="19" s="1"/>
  <c r="O7" i="19"/>
  <c r="O8" i="19"/>
  <c r="O9" i="19"/>
  <c r="O10" i="19"/>
  <c r="O5" i="19"/>
  <c r="L5" i="19" s="1"/>
  <c r="B19" i="18"/>
  <c r="B23" i="18" s="1"/>
  <c r="G6" i="19" l="1"/>
  <c r="G7" i="19"/>
  <c r="L7" i="19" s="1"/>
  <c r="G8" i="19"/>
  <c r="L8" i="19" s="1"/>
  <c r="G9" i="19"/>
  <c r="L9" i="19" s="1"/>
  <c r="G10" i="19"/>
  <c r="G5" i="19"/>
  <c r="L10" i="19" l="1"/>
  <c r="B11" i="18"/>
  <c r="T4" i="14" l="1"/>
  <c r="E7" i="17"/>
  <c r="F7" i="17" s="1"/>
  <c r="E6" i="17"/>
  <c r="F6" i="17" s="1"/>
  <c r="E5" i="17"/>
  <c r="F5" i="17" s="1"/>
  <c r="E4" i="17"/>
  <c r="F4" i="17" s="1"/>
  <c r="E3" i="17"/>
  <c r="F3" i="17" s="1"/>
  <c r="E2" i="17"/>
  <c r="F2" i="17" s="1"/>
  <c r="B27" i="18" l="1"/>
  <c r="B30" i="18" s="1"/>
  <c r="B32" i="18" s="1"/>
  <c r="F8" i="14"/>
  <c r="G8" i="14" s="1"/>
  <c r="F7" i="14"/>
  <c r="G7" i="14" s="1"/>
  <c r="F6" i="14"/>
  <c r="G6" i="14" s="1"/>
  <c r="F5" i="14"/>
  <c r="G5" i="14" s="1"/>
  <c r="F4" i="14"/>
  <c r="G4" i="14" s="1"/>
  <c r="F3" i="14"/>
  <c r="G3" i="14" s="1"/>
  <c r="B34" i="18" l="1"/>
  <c r="H2" i="18" s="1"/>
</calcChain>
</file>

<file path=xl/sharedStrings.xml><?xml version="1.0" encoding="utf-8"?>
<sst xmlns="http://schemas.openxmlformats.org/spreadsheetml/2006/main" count="161" uniqueCount="69">
  <si>
    <t>g (m/s²)</t>
  </si>
  <si>
    <t>e</t>
  </si>
  <si>
    <t>0.2 /kPa</t>
  </si>
  <si>
    <t>0.12 m</t>
  </si>
  <si>
    <t>α</t>
  </si>
  <si>
    <t>Ψ0</t>
  </si>
  <si>
    <t>Nr-mid</t>
  </si>
  <si>
    <t>w</t>
  </si>
  <si>
    <t>638 RPM</t>
  </si>
  <si>
    <t>300 g</t>
  </si>
  <si>
    <t>0 kpa</t>
  </si>
  <si>
    <t>Vm  (ml/min)</t>
  </si>
  <si>
    <t>Ks (mm/day)</t>
  </si>
  <si>
    <t>r0 (m)</t>
  </si>
  <si>
    <t>Zm</t>
  </si>
  <si>
    <t>Pwater</t>
  </si>
  <si>
    <t>W2</t>
  </si>
  <si>
    <t>Zm2</t>
  </si>
  <si>
    <t>Zm/Lm</t>
  </si>
  <si>
    <t>eq. 8</t>
  </si>
  <si>
    <t>mp (zm) eq.5</t>
  </si>
  <si>
    <t>50g</t>
  </si>
  <si>
    <t>100g</t>
  </si>
  <si>
    <t>300g</t>
  </si>
  <si>
    <t>250g</t>
  </si>
  <si>
    <t>Vm</t>
  </si>
  <si>
    <t>Ks</t>
  </si>
  <si>
    <t>Vm/Ks</t>
  </si>
  <si>
    <t>kPa</t>
  </si>
  <si>
    <t>m</t>
  </si>
  <si>
    <t>g</t>
  </si>
  <si>
    <t>RPM</t>
  </si>
  <si>
    <t>if</t>
  </si>
  <si>
    <t>&gt;0</t>
  </si>
  <si>
    <t>r0</t>
  </si>
  <si>
    <t>Pw</t>
  </si>
  <si>
    <t>Result (Suction)</t>
  </si>
  <si>
    <t>vm=0.05, ks=4.13</t>
  </si>
  <si>
    <t>Suction (kPa)</t>
  </si>
  <si>
    <t>suction (kPa)</t>
  </si>
  <si>
    <t>vm=0.0167, ks=1.38</t>
  </si>
  <si>
    <t>vm=0.0667, ks=5.51</t>
  </si>
  <si>
    <t>mp (zm)</t>
  </si>
  <si>
    <t>(r0-zm)2</t>
  </si>
  <si>
    <t>hm (m)</t>
  </si>
  <si>
    <t>total head (m)</t>
  </si>
  <si>
    <t>suction head (m)</t>
  </si>
  <si>
    <t>Eq. 8</t>
  </si>
  <si>
    <t>200g</t>
  </si>
  <si>
    <t>Suction head</t>
  </si>
  <si>
    <t>d suction</t>
  </si>
  <si>
    <t>dzm</t>
  </si>
  <si>
    <t>Zm (m)</t>
  </si>
  <si>
    <t>m/sec</t>
  </si>
  <si>
    <t>K (mm/day)</t>
  </si>
  <si>
    <t>Vm (m/sec)</t>
  </si>
  <si>
    <t>k (m/dsec)</t>
  </si>
  <si>
    <t>1 ml/min</t>
  </si>
  <si>
    <t>3 ml/min</t>
  </si>
  <si>
    <t>4 ml/min</t>
  </si>
  <si>
    <t>2 ml/min</t>
  </si>
  <si>
    <t>k (m/sec)</t>
  </si>
  <si>
    <t>5 ml/min</t>
  </si>
  <si>
    <t>Speed m/sec</t>
  </si>
  <si>
    <t>w2</t>
  </si>
  <si>
    <t xml:space="preserve">Change Ku with change the g-level </t>
  </si>
  <si>
    <r>
      <t>L</t>
    </r>
    <r>
      <rPr>
        <b/>
        <sz val="8"/>
        <color theme="1"/>
        <rFont val="Calibri"/>
        <family val="2"/>
        <scheme val="minor"/>
      </rPr>
      <t>m</t>
    </r>
  </si>
  <si>
    <r>
      <t>ρ</t>
    </r>
    <r>
      <rPr>
        <b/>
        <vertAlign val="subscript"/>
        <sz val="12"/>
        <color theme="1"/>
        <rFont val="Calibri"/>
        <family val="2"/>
      </rPr>
      <t xml:space="preserve">w </t>
    </r>
    <r>
      <rPr>
        <b/>
        <sz val="12"/>
        <color theme="1"/>
        <rFont val="Calibri"/>
        <family val="2"/>
      </rPr>
      <t>(kg/m</t>
    </r>
    <r>
      <rPr>
        <b/>
        <vertAlign val="superscript"/>
        <sz val="12"/>
        <color theme="1"/>
        <rFont val="Calibri"/>
        <family val="2"/>
      </rPr>
      <t>3</t>
    </r>
    <r>
      <rPr>
        <b/>
        <sz val="12"/>
        <color theme="1"/>
        <rFont val="Calibri"/>
        <family val="2"/>
      </rPr>
      <t>)</t>
    </r>
  </si>
  <si>
    <r>
      <t>W</t>
    </r>
    <r>
      <rPr>
        <b/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</si>
</sst>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"/>
    <numFmt numFmtId="166" formatCode="0.0000"/>
    <numFmt numFmtId="167" formatCode="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11" fontId="0" fillId="0" borderId="0" xfId="0" applyNumberFormat="1"/>
    <xf numFmtId="164" fontId="0" fillId="0" borderId="0" xfId="0" applyNumberFormat="1"/>
    <xf numFmtId="166" fontId="0" fillId="0" borderId="0" xfId="0" applyNumberFormat="1"/>
    <xf numFmtId="166" fontId="1" fillId="4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09264119762813E-2"/>
          <c:y val="4.2759961127308066E-2"/>
          <c:w val="0.79871559914659795"/>
          <c:h val="0.7846324311501878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'Head value '!$H$4</c:f>
              <c:strCache>
                <c:ptCount val="1"/>
                <c:pt idx="0">
                  <c:v>hm (m)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'Head value '!$H$5:$H$10</c:f>
              <c:numCache>
                <c:formatCode>0.00</c:formatCode>
                <c:ptCount val="6"/>
                <c:pt idx="0">
                  <c:v>-43.083348628530629</c:v>
                </c:pt>
                <c:pt idx="1">
                  <c:v>-46.259656979708367</c:v>
                </c:pt>
                <c:pt idx="2">
                  <c:v>-49.389731416335266</c:v>
                </c:pt>
                <c:pt idx="3">
                  <c:v>-52.786579382074002</c:v>
                </c:pt>
                <c:pt idx="4">
                  <c:v>-56.807008871214414</c:v>
                </c:pt>
                <c:pt idx="5">
                  <c:v>-62.755174875089203</c:v>
                </c:pt>
              </c:numCache>
            </c:numRef>
          </c:xVal>
          <c:yVal>
            <c:numRef>
              <c:f>'Head value '!$I$5:$I$10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A4-43E2-AF05-59D70E52A9F9}"/>
            </c:ext>
          </c:extLst>
        </c:ser>
        <c:ser>
          <c:idx val="1"/>
          <c:order val="1"/>
          <c:tx>
            <c:strRef>
              <c:f>'Head value '!$L$4</c:f>
              <c:strCache>
                <c:ptCount val="1"/>
                <c:pt idx="0">
                  <c:v>total head (m)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'Head value '!$L$5:$L$10</c:f>
              <c:numCache>
                <c:formatCode>0.00</c:formatCode>
                <c:ptCount val="6"/>
                <c:pt idx="0">
                  <c:v>-46.703348628530627</c:v>
                </c:pt>
                <c:pt idx="1">
                  <c:v>-49.769656979708365</c:v>
                </c:pt>
                <c:pt idx="2">
                  <c:v>-52.769731416335269</c:v>
                </c:pt>
                <c:pt idx="3">
                  <c:v>-56.076579382074002</c:v>
                </c:pt>
                <c:pt idx="4">
                  <c:v>-59.717008871214418</c:v>
                </c:pt>
                <c:pt idx="5">
                  <c:v>-62.857674875089202</c:v>
                </c:pt>
              </c:numCache>
            </c:numRef>
          </c:xVal>
          <c:yVal>
            <c:numRef>
              <c:f>'Head value '!$I$5:$I$10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A4-43E2-AF05-59D70E52A9F9}"/>
            </c:ext>
          </c:extLst>
        </c:ser>
        <c:ser>
          <c:idx val="3"/>
          <c:order val="2"/>
          <c:tx>
            <c:strRef>
              <c:f>'Head value '!$O$4</c:f>
              <c:strCache>
                <c:ptCount val="1"/>
                <c:pt idx="0">
                  <c:v>Suction head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'Head value '!$O$5:$O$10</c:f>
              <c:numCache>
                <c:formatCode>General</c:formatCode>
                <c:ptCount val="6"/>
                <c:pt idx="0">
                  <c:v>-3.62</c:v>
                </c:pt>
                <c:pt idx="1">
                  <c:v>-3.5100000000000002</c:v>
                </c:pt>
                <c:pt idx="2">
                  <c:v>-3.38</c:v>
                </c:pt>
                <c:pt idx="3">
                  <c:v>-3.29</c:v>
                </c:pt>
                <c:pt idx="4">
                  <c:v>-2.91</c:v>
                </c:pt>
                <c:pt idx="5">
                  <c:v>-0.10249999999999999</c:v>
                </c:pt>
              </c:numCache>
            </c:numRef>
          </c:xVal>
          <c:yVal>
            <c:numRef>
              <c:f>'Head value '!$I$5:$I$10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EC-4B4D-B54F-59B3397F1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88288"/>
        <c:axId val="382488616"/>
      </c:scatterChart>
      <c:valAx>
        <c:axId val="382488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Head</a:t>
                </a:r>
                <a:r>
                  <a:rPr lang="en-GB" baseline="0"/>
                  <a:t> (m)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88616"/>
        <c:crosses val="autoZero"/>
        <c:crossBetween val="midCat"/>
        <c:majorUnit val="10"/>
      </c:valAx>
      <c:valAx>
        <c:axId val="3824886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layout>
            <c:manualLayout>
              <c:xMode val="edge"/>
              <c:yMode val="edge"/>
              <c:x val="0.92527615334632873"/>
              <c:y val="0.402559169899680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88288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'matric potential vs distance'!$I$2</c:f>
              <c:strCache>
                <c:ptCount val="1"/>
                <c:pt idx="0">
                  <c:v>Zm/Lm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'matric potential vs distance'!$H$3:$H$9</c:f>
              <c:numCache>
                <c:formatCode>0.0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14.6</c:v>
                </c:pt>
                <c:pt idx="5">
                  <c:v>2.6</c:v>
                </c:pt>
                <c:pt idx="6">
                  <c:v>0.01</c:v>
                </c:pt>
              </c:numCache>
            </c:numRef>
          </c:xVal>
          <c:yVal>
            <c:numRef>
              <c:f>'matric potential vs distance'!$I$3:$I$9</c:f>
              <c:numCache>
                <c:formatCode>General</c:formatCode>
                <c:ptCount val="7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  <c:pt idx="6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BA-474C-AE73-97019811DB31}"/>
            </c:ext>
          </c:extLst>
        </c:ser>
        <c:ser>
          <c:idx val="1"/>
          <c:order val="1"/>
          <c:tx>
            <c:strRef>
              <c:f>'matric potential vs distance'!$G$2</c:f>
              <c:strCache>
                <c:ptCount val="1"/>
                <c:pt idx="0">
                  <c:v>mp (zm) eq.5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'matric potential vs distance'!$G$3:$G$10</c:f>
              <c:numCache>
                <c:formatCode>0.0</c:formatCode>
                <c:ptCount val="8"/>
                <c:pt idx="0">
                  <c:v>48.910202879999993</c:v>
                </c:pt>
                <c:pt idx="1">
                  <c:v>41.012924614199996</c:v>
                </c:pt>
                <c:pt idx="2">
                  <c:v>33.230598062199995</c:v>
                </c:pt>
                <c:pt idx="3">
                  <c:v>24.784990568799994</c:v>
                </c:pt>
                <c:pt idx="4">
                  <c:v>14.788967855200001</c:v>
                </c:pt>
                <c:pt idx="5">
                  <c:v>2.2210199549999996</c:v>
                </c:pt>
                <c:pt idx="6" formatCode="General">
                  <c:v>0.01</c:v>
                </c:pt>
              </c:numCache>
            </c:numRef>
          </c:xVal>
          <c:yVal>
            <c:numRef>
              <c:f>'matric potential vs distance'!$I$3:$I$10</c:f>
              <c:numCache>
                <c:formatCode>General</c:formatCode>
                <c:ptCount val="8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  <c:pt idx="6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BA-474C-AE73-97019811D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476608"/>
        <c:axId val="414476936"/>
      </c:scatterChart>
      <c:valAx>
        <c:axId val="414476608"/>
        <c:scaling>
          <c:logBase val="10"/>
          <c:orientation val="minMax"/>
          <c:max val="100"/>
          <c:min val="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Matric potentail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76936"/>
        <c:crosses val="autoZero"/>
        <c:crossBetween val="midCat"/>
      </c:valAx>
      <c:valAx>
        <c:axId val="414476936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476608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a=0.005</a:t>
            </a:r>
          </a:p>
          <a:p>
            <a:pPr algn="l">
              <a:defRPr/>
            </a:pPr>
            <a:r>
              <a:rPr lang="en-GB"/>
              <a:t>Lm=0.12m</a:t>
            </a:r>
          </a:p>
          <a:p>
            <a:pPr algn="l">
              <a:defRPr/>
            </a:pPr>
            <a:r>
              <a:rPr lang="en-GB"/>
              <a:t>y0=0 kPa</a:t>
            </a:r>
          </a:p>
          <a:p>
            <a:pPr algn="l">
              <a:defRPr/>
            </a:pPr>
            <a:r>
              <a:rPr lang="en-GB"/>
              <a:t>N=300g</a:t>
            </a:r>
          </a:p>
          <a:p>
            <a:pPr algn="l">
              <a:defRPr/>
            </a:pPr>
            <a:r>
              <a:rPr lang="en-GB"/>
              <a:t>w=638RPM</a:t>
            </a:r>
          </a:p>
          <a:p>
            <a:pPr algn="l">
              <a:defRPr/>
            </a:pPr>
            <a:endParaRPr lang="en-GB"/>
          </a:p>
        </c:rich>
      </c:tx>
      <c:layout>
        <c:manualLayout>
          <c:xMode val="edge"/>
          <c:yMode val="edge"/>
          <c:x val="0.53597892320132456"/>
          <c:y val="7.8651685393258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233016925515899E-2"/>
          <c:y val="7.1724628171478552E-2"/>
          <c:w val="0.89140357455318087"/>
          <c:h val="0.762970982793817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'matric potential vs distance'!$J$2</c:f>
              <c:strCache>
                <c:ptCount val="1"/>
                <c:pt idx="0">
                  <c:v>Eq. 8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'matric potential vs distance'!$J$3:$J$8</c:f>
              <c:numCache>
                <c:formatCode>0</c:formatCode>
                <c:ptCount val="6"/>
                <c:pt idx="0">
                  <c:v>-36.200000000000003</c:v>
                </c:pt>
                <c:pt idx="1">
                  <c:v>-35.1</c:v>
                </c:pt>
                <c:pt idx="2">
                  <c:v>-33.799999999999997</c:v>
                </c:pt>
                <c:pt idx="3">
                  <c:v>-32.9</c:v>
                </c:pt>
                <c:pt idx="4">
                  <c:v>-29.1</c:v>
                </c:pt>
                <c:pt idx="5">
                  <c:v>-1.0249999999999999</c:v>
                </c:pt>
              </c:numCache>
            </c:numRef>
          </c:xVal>
          <c:yVal>
            <c:numRef>
              <c:f>'matric potential vs distance'!$I$3:$I$8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43-4785-9F55-2484AF66D5A5}"/>
            </c:ext>
          </c:extLst>
        </c:ser>
        <c:ser>
          <c:idx val="1"/>
          <c:order val="1"/>
          <c:tx>
            <c:strRef>
              <c:f>'matric potential vs distance'!$G$2</c:f>
              <c:strCache>
                <c:ptCount val="1"/>
                <c:pt idx="0">
                  <c:v>mp (zm) eq.5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'matric potential vs distance'!$G$3:$G$8</c:f>
              <c:numCache>
                <c:formatCode>0.0</c:formatCode>
                <c:ptCount val="6"/>
                <c:pt idx="0">
                  <c:v>48.910202879999993</c:v>
                </c:pt>
                <c:pt idx="1">
                  <c:v>41.012924614199996</c:v>
                </c:pt>
                <c:pt idx="2">
                  <c:v>33.230598062199995</c:v>
                </c:pt>
                <c:pt idx="3">
                  <c:v>24.784990568799994</c:v>
                </c:pt>
                <c:pt idx="4">
                  <c:v>14.788967855200001</c:v>
                </c:pt>
                <c:pt idx="5">
                  <c:v>2.2210199549999996</c:v>
                </c:pt>
              </c:numCache>
            </c:numRef>
          </c:xVal>
          <c:yVal>
            <c:numRef>
              <c:f>'matric potential vs distance'!$I$3:$I$8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43-4785-9F55-2484AF66D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85224"/>
        <c:axId val="423288176"/>
      </c:scatterChart>
      <c:valAx>
        <c:axId val="423285224"/>
        <c:scaling>
          <c:orientation val="minMax"/>
          <c:max val="50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Matric</a:t>
                </a:r>
                <a:r>
                  <a:rPr lang="en-GB" baseline="0"/>
                  <a:t> potentail (kPa)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288176"/>
        <c:crosses val="autoZero"/>
        <c:crossBetween val="midCat"/>
      </c:valAx>
      <c:valAx>
        <c:axId val="42328817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layout>
            <c:manualLayout>
              <c:xMode val="edge"/>
              <c:yMode val="edge"/>
              <c:x val="0.22044603492424097"/>
              <c:y val="0.37617269751393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285224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00981033989216E-2"/>
          <c:y val="4.0072859744990891E-2"/>
          <c:w val="0.75965458173897027"/>
          <c:h val="0.78069847826398753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'g-level'!$D$10</c:f>
              <c:strCache>
                <c:ptCount val="1"/>
                <c:pt idx="0">
                  <c:v>150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'g-level'!$D$11:$D$16</c:f>
              <c:numCache>
                <c:formatCode>General</c:formatCode>
                <c:ptCount val="6"/>
                <c:pt idx="0">
                  <c:v>-19</c:v>
                </c:pt>
                <c:pt idx="1">
                  <c:v>-18</c:v>
                </c:pt>
                <c:pt idx="2">
                  <c:v>-17</c:v>
                </c:pt>
                <c:pt idx="3">
                  <c:v>-14</c:v>
                </c:pt>
                <c:pt idx="4">
                  <c:v>-9.3944839275999996</c:v>
                </c:pt>
                <c:pt idx="5">
                  <c:v>-2</c:v>
                </c:pt>
              </c:numCache>
            </c:numRef>
          </c:xVal>
          <c:yVal>
            <c:numRef>
              <c:f>'g-level'!$G$2:$G$7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F1-4C9A-97E0-84FE94410E2A}"/>
            </c:ext>
          </c:extLst>
        </c:ser>
        <c:ser>
          <c:idx val="3"/>
          <c:order val="1"/>
          <c:tx>
            <c:strRef>
              <c:f>'g-level'!$E$10</c:f>
              <c:strCache>
                <c:ptCount val="1"/>
                <c:pt idx="0">
                  <c:v>200g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'g-level'!$E$11:$E$16</c:f>
              <c:numCache>
                <c:formatCode>General</c:formatCode>
                <c:ptCount val="6"/>
                <c:pt idx="0">
                  <c:v>-25</c:v>
                </c:pt>
                <c:pt idx="1">
                  <c:v>-24</c:v>
                </c:pt>
                <c:pt idx="2">
                  <c:v>-23</c:v>
                </c:pt>
                <c:pt idx="3">
                  <c:v>-21</c:v>
                </c:pt>
                <c:pt idx="4">
                  <c:v>-14.64124</c:v>
                </c:pt>
                <c:pt idx="5">
                  <c:v>-1.8485291475000001</c:v>
                </c:pt>
              </c:numCache>
            </c:numRef>
          </c:xVal>
          <c:yVal>
            <c:numRef>
              <c:f>'g-level'!$G$2:$G$7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F1-4C9A-97E0-84FE94410E2A}"/>
            </c:ext>
          </c:extLst>
        </c:ser>
        <c:ser>
          <c:idx val="4"/>
          <c:order val="2"/>
          <c:tx>
            <c:strRef>
              <c:f>'g-level'!$G$10</c:f>
              <c:strCache>
                <c:ptCount val="1"/>
                <c:pt idx="0">
                  <c:v>300g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'g-level'!$G$11:$G$16</c:f>
              <c:numCache>
                <c:formatCode>General</c:formatCode>
                <c:ptCount val="6"/>
                <c:pt idx="0">
                  <c:v>-34.5</c:v>
                </c:pt>
                <c:pt idx="1">
                  <c:v>-34.1</c:v>
                </c:pt>
                <c:pt idx="2">
                  <c:v>-33.799999999999997</c:v>
                </c:pt>
                <c:pt idx="3">
                  <c:v>-33.6</c:v>
                </c:pt>
                <c:pt idx="4">
                  <c:v>-30.9</c:v>
                </c:pt>
                <c:pt idx="5">
                  <c:v>-1.0249999999999999</c:v>
                </c:pt>
              </c:numCache>
            </c:numRef>
          </c:xVal>
          <c:yVal>
            <c:numRef>
              <c:f>'g-level'!$G$2:$G$7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F1-4C9A-97E0-84FE94410E2A}"/>
            </c:ext>
          </c:extLst>
        </c:ser>
        <c:ser>
          <c:idx val="0"/>
          <c:order val="3"/>
          <c:tx>
            <c:strRef>
              <c:f>'g-level'!$F$10</c:f>
              <c:strCache>
                <c:ptCount val="1"/>
                <c:pt idx="0">
                  <c:v>250g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'g-level'!$F$11:$F$16</c:f>
              <c:numCache>
                <c:formatCode>0.0</c:formatCode>
                <c:ptCount val="6"/>
                <c:pt idx="0">
                  <c:v>-29</c:v>
                </c:pt>
                <c:pt idx="1">
                  <c:v>-28.4</c:v>
                </c:pt>
                <c:pt idx="2">
                  <c:v>-28</c:v>
                </c:pt>
                <c:pt idx="3">
                  <c:v>-27.2</c:v>
                </c:pt>
                <c:pt idx="4">
                  <c:v>-23.5</c:v>
                </c:pt>
                <c:pt idx="5">
                  <c:v>-1.2</c:v>
                </c:pt>
              </c:numCache>
            </c:numRef>
          </c:xVal>
          <c:yVal>
            <c:numRef>
              <c:f>'g-level'!$G$2:$G$7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A4-4679-BBC3-208BB915F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89368"/>
        <c:axId val="417882152"/>
      </c:scatterChart>
      <c:valAx>
        <c:axId val="417889368"/>
        <c:scaling>
          <c:orientation val="minMax"/>
          <c:min val="-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Matric</a:t>
                </a:r>
                <a:r>
                  <a:rPr lang="en-GB" baseline="0"/>
                  <a:t> Potentail (kPa)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82152"/>
        <c:crosses val="autoZero"/>
        <c:crossBetween val="midCat"/>
        <c:majorUnit val="10"/>
      </c:valAx>
      <c:valAx>
        <c:axId val="41788215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layout>
            <c:manualLayout>
              <c:xMode val="edge"/>
              <c:yMode val="edge"/>
              <c:x val="0.92582391087929239"/>
              <c:y val="0.36053124506977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889368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74959190821262E-2"/>
          <c:y val="3.9137199838408472E-2"/>
          <c:w val="0.64646110001091295"/>
          <c:h val="0.802879063531133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Vm!$L$2</c:f>
              <c:strCache>
                <c:ptCount val="1"/>
                <c:pt idx="0">
                  <c:v>Suction (kPa)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Vm!$P$3:$P$8</c:f>
              <c:numCache>
                <c:formatCode>General</c:formatCode>
                <c:ptCount val="6"/>
                <c:pt idx="0">
                  <c:v>-166.8</c:v>
                </c:pt>
                <c:pt idx="1">
                  <c:v>-157.6</c:v>
                </c:pt>
                <c:pt idx="2">
                  <c:v>-146.5</c:v>
                </c:pt>
                <c:pt idx="3">
                  <c:v>-131.1</c:v>
                </c:pt>
                <c:pt idx="4">
                  <c:v>-103.9</c:v>
                </c:pt>
                <c:pt idx="5">
                  <c:v>-4.0999999999999996</c:v>
                </c:pt>
              </c:numCache>
            </c:numRef>
          </c:xVal>
          <c:yVal>
            <c:numRef>
              <c:f>Vm!$K$3:$K$8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AB-4E79-8111-B68D2C73A822}"/>
            </c:ext>
          </c:extLst>
        </c:ser>
        <c:ser>
          <c:idx val="2"/>
          <c:order val="1"/>
          <c:tx>
            <c:strRef>
              <c:f>Vm!$Q$2</c:f>
              <c:strCache>
                <c:ptCount val="1"/>
                <c:pt idx="0">
                  <c:v>Suction (kPa)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Vm!$Q$3:$Q$8</c:f>
              <c:numCache>
                <c:formatCode>General</c:formatCode>
                <c:ptCount val="6"/>
                <c:pt idx="0">
                  <c:v>-83.4</c:v>
                </c:pt>
                <c:pt idx="1">
                  <c:v>-78.8</c:v>
                </c:pt>
                <c:pt idx="2">
                  <c:v>-73.25</c:v>
                </c:pt>
                <c:pt idx="3">
                  <c:v>-65.55</c:v>
                </c:pt>
                <c:pt idx="4">
                  <c:v>-51.95</c:v>
                </c:pt>
                <c:pt idx="5">
                  <c:v>-2.0499999999999998</c:v>
                </c:pt>
              </c:numCache>
            </c:numRef>
          </c:xVal>
          <c:yVal>
            <c:numRef>
              <c:f>Vm!$K$3:$K$8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AB-4E79-8111-B68D2C73A822}"/>
            </c:ext>
          </c:extLst>
        </c:ser>
        <c:ser>
          <c:idx val="1"/>
          <c:order val="2"/>
          <c:tx>
            <c:strRef>
              <c:f>Vm!$R$2</c:f>
              <c:strCache>
                <c:ptCount val="1"/>
                <c:pt idx="0">
                  <c:v>suction (kPa)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Vm!$R$3:$R$8</c:f>
              <c:numCache>
                <c:formatCode>General</c:formatCode>
                <c:ptCount val="6"/>
                <c:pt idx="0">
                  <c:v>-36.200000000000003</c:v>
                </c:pt>
                <c:pt idx="1">
                  <c:v>-35.1</c:v>
                </c:pt>
                <c:pt idx="2">
                  <c:v>-33.799999999999997</c:v>
                </c:pt>
                <c:pt idx="3">
                  <c:v>-32.9</c:v>
                </c:pt>
                <c:pt idx="4">
                  <c:v>-29.1</c:v>
                </c:pt>
                <c:pt idx="5">
                  <c:v>-1.0249999999999999</c:v>
                </c:pt>
              </c:numCache>
            </c:numRef>
          </c:xVal>
          <c:yVal>
            <c:numRef>
              <c:f>Vm!$K$3:$K$8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3AB-4E79-8111-B68D2C73A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23920"/>
        <c:axId val="419534416"/>
      </c:scatterChart>
      <c:valAx>
        <c:axId val="41952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Matric</a:t>
                </a:r>
                <a:r>
                  <a:rPr lang="en-GB" baseline="0"/>
                  <a:t> potetnail (kPa)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34416"/>
        <c:crosses val="autoZero"/>
        <c:crossBetween val="midCat"/>
      </c:valAx>
      <c:valAx>
        <c:axId val="419534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layout>
            <c:manualLayout>
              <c:xMode val="edge"/>
              <c:yMode val="edge"/>
              <c:x val="0.89251687931624557"/>
              <c:y val="0.41501288417910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23920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Ku!$M$1</c:f>
              <c:strCache>
                <c:ptCount val="1"/>
                <c:pt idx="0">
                  <c:v>K (mm/day)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Ku!$M$2:$M$7</c:f>
              <c:numCache>
                <c:formatCode>0.0</c:formatCode>
                <c:ptCount val="6"/>
                <c:pt idx="0">
                  <c:v>0.89748196769054911</c:v>
                </c:pt>
                <c:pt idx="1">
                  <c:v>0.86612236482615379</c:v>
                </c:pt>
                <c:pt idx="2">
                  <c:v>0.83822792473513452</c:v>
                </c:pt>
                <c:pt idx="3">
                  <c:v>0.81080925429987316</c:v>
                </c:pt>
                <c:pt idx="4">
                  <c:v>0.78159090279357124</c:v>
                </c:pt>
                <c:pt idx="5">
                  <c:v>0.5</c:v>
                </c:pt>
              </c:numCache>
            </c:numRef>
          </c:xVal>
          <c:yVal>
            <c:numRef>
              <c:f>Ku!$N$2:$N$7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C6-460B-A181-C4278696C2F9}"/>
            </c:ext>
          </c:extLst>
        </c:ser>
        <c:ser>
          <c:idx val="1"/>
          <c:order val="1"/>
          <c:tx>
            <c:strRef>
              <c:f>Ku!$M$21</c:f>
              <c:strCache>
                <c:ptCount val="1"/>
                <c:pt idx="0">
                  <c:v>K (mm/day)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Ku!$M$22:$M$27</c:f>
              <c:numCache>
                <c:formatCode>0.0</c:formatCode>
                <c:ptCount val="6"/>
                <c:pt idx="0">
                  <c:v>2.6924405181906108</c:v>
                </c:pt>
                <c:pt idx="1">
                  <c:v>2.5983618977546659</c:v>
                </c:pt>
                <c:pt idx="2">
                  <c:v>2.5146787448479135</c:v>
                </c:pt>
                <c:pt idx="3">
                  <c:v>2.4324228980538232</c:v>
                </c:pt>
                <c:pt idx="4">
                  <c:v>2.3447680188446758</c:v>
                </c:pt>
                <c:pt idx="5">
                  <c:v>1.9</c:v>
                </c:pt>
              </c:numCache>
            </c:numRef>
          </c:xVal>
          <c:yVal>
            <c:numRef>
              <c:f>Ku!$N$2:$N$7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1C6-460B-A181-C4278696C2F9}"/>
            </c:ext>
          </c:extLst>
        </c:ser>
        <c:ser>
          <c:idx val="2"/>
          <c:order val="2"/>
          <c:tx>
            <c:strRef>
              <c:f>Ku!$M$29</c:f>
              <c:strCache>
                <c:ptCount val="1"/>
                <c:pt idx="0">
                  <c:v>K (mm/day)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Ku!$M$30:$M$35</c:f>
              <c:numCache>
                <c:formatCode>0.0</c:formatCode>
                <c:ptCount val="6"/>
                <c:pt idx="0">
                  <c:v>3.5899386405242693</c:v>
                </c:pt>
                <c:pt idx="1">
                  <c:v>3.4644998527522062</c:v>
                </c:pt>
                <c:pt idx="2">
                  <c:v>3.3529217576555168</c:v>
                </c:pt>
                <c:pt idx="3">
                  <c:v>3.2432467468910842</c:v>
                </c:pt>
                <c:pt idx="4">
                  <c:v>3.1263729902463604</c:v>
                </c:pt>
                <c:pt idx="5">
                  <c:v>2.7</c:v>
                </c:pt>
              </c:numCache>
            </c:numRef>
          </c:xVal>
          <c:yVal>
            <c:numRef>
              <c:f>Ku!$N$2:$N$7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1C6-460B-A181-C4278696C2F9}"/>
            </c:ext>
          </c:extLst>
        </c:ser>
        <c:ser>
          <c:idx val="4"/>
          <c:order val="3"/>
          <c:tx>
            <c:strRef>
              <c:f>Ku!$M$11</c:f>
              <c:strCache>
                <c:ptCount val="1"/>
                <c:pt idx="0">
                  <c:v>K (mm/day)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Ku!$M$12:$M$17</c:f>
              <c:numCache>
                <c:formatCode>0.0</c:formatCode>
                <c:ptCount val="6"/>
                <c:pt idx="0">
                  <c:v>1.794942395856953</c:v>
                </c:pt>
                <c:pt idx="1">
                  <c:v>1.7322239427571255</c:v>
                </c:pt>
                <c:pt idx="2">
                  <c:v>1.6764357320403103</c:v>
                </c:pt>
                <c:pt idx="3">
                  <c:v>1.6215990492165619</c:v>
                </c:pt>
                <c:pt idx="4">
                  <c:v>1.5631630474429918</c:v>
                </c:pt>
                <c:pt idx="5">
                  <c:v>1.2</c:v>
                </c:pt>
              </c:numCache>
            </c:numRef>
          </c:xVal>
          <c:yVal>
            <c:numRef>
              <c:f>Ku!$N$12:$N$17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E6-485E-A78C-CF245B0C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680104"/>
        <c:axId val="411685024"/>
      </c:scatterChart>
      <c:valAx>
        <c:axId val="411680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Ku</a:t>
                </a:r>
                <a:r>
                  <a:rPr lang="en-GB" baseline="0"/>
                  <a:t> (mm/day)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85024"/>
        <c:crosses val="autoZero"/>
        <c:crossBetween val="midCat"/>
        <c:majorUnit val="1"/>
      </c:valAx>
      <c:valAx>
        <c:axId val="411685024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Zm/Lm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80104"/>
        <c:crosses val="autoZero"/>
        <c:crossBetween val="midCat"/>
        <c:majorUnit val="0.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Ku!$M$49</c:f>
              <c:strCache>
                <c:ptCount val="1"/>
                <c:pt idx="0">
                  <c:v>K (mm/day)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Ku!$M$50:$M$55</c:f>
              <c:numCache>
                <c:formatCode>0.0</c:formatCode>
                <c:ptCount val="6"/>
                <c:pt idx="0">
                  <c:v>4.0466897220938698</c:v>
                </c:pt>
                <c:pt idx="1">
                  <c:v>3.905291245947494</c:v>
                </c:pt>
                <c:pt idx="2">
                  <c:v>3.7795169707156901</c:v>
                </c:pt>
                <c:pt idx="3">
                  <c:v>3.6558879109259261</c:v>
                </c:pt>
                <c:pt idx="4">
                  <c:v>3.5241442024240905</c:v>
                </c:pt>
                <c:pt idx="5">
                  <c:v>1.2</c:v>
                </c:pt>
              </c:numCache>
            </c:numRef>
          </c:xVal>
          <c:yVal>
            <c:numRef>
              <c:f>Ku!$N$50:$N$55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84-4EED-9D43-54A68ECD27C8}"/>
            </c:ext>
          </c:extLst>
        </c:ser>
        <c:ser>
          <c:idx val="1"/>
          <c:order val="1"/>
          <c:tx>
            <c:strRef>
              <c:f>Ku!$C$58</c:f>
              <c:strCache>
                <c:ptCount val="1"/>
                <c:pt idx="0">
                  <c:v>250g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Ku!$C$59:$C$64</c:f>
              <c:numCache>
                <c:formatCode>0.0</c:formatCode>
                <c:ptCount val="6"/>
                <c:pt idx="0">
                  <c:v>2.5830671703189676</c:v>
                </c:pt>
                <c:pt idx="1">
                  <c:v>2.4928102475623977</c:v>
                </c:pt>
                <c:pt idx="2">
                  <c:v>2.4125265036795511</c:v>
                </c:pt>
                <c:pt idx="3">
                  <c:v>2.3336120853348934</c:v>
                </c:pt>
                <c:pt idx="4">
                  <c:v>2.2495179561336354</c:v>
                </c:pt>
                <c:pt idx="5">
                  <c:v>1.2</c:v>
                </c:pt>
              </c:numCache>
            </c:numRef>
          </c:xVal>
          <c:yVal>
            <c:numRef>
              <c:f>Ku!$N$50:$N$55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84-4EED-9D43-54A68ECD27C8}"/>
            </c:ext>
          </c:extLst>
        </c:ser>
        <c:ser>
          <c:idx val="2"/>
          <c:order val="2"/>
          <c:tx>
            <c:strRef>
              <c:f>Ku!$B$58</c:f>
              <c:strCache>
                <c:ptCount val="1"/>
                <c:pt idx="0">
                  <c:v>300g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Ku!$B$59:$B$64</c:f>
              <c:numCache>
                <c:formatCode>0.0</c:formatCode>
                <c:ptCount val="6"/>
                <c:pt idx="0">
                  <c:v>1.794942395856953</c:v>
                </c:pt>
                <c:pt idx="1">
                  <c:v>1.7322239427571255</c:v>
                </c:pt>
                <c:pt idx="2">
                  <c:v>1.6764357320403103</c:v>
                </c:pt>
                <c:pt idx="3">
                  <c:v>1.6215990492165619</c:v>
                </c:pt>
                <c:pt idx="4">
                  <c:v>1.5631630474429918</c:v>
                </c:pt>
                <c:pt idx="5">
                  <c:v>1.2</c:v>
                </c:pt>
              </c:numCache>
            </c:numRef>
          </c:xVal>
          <c:yVal>
            <c:numRef>
              <c:f>Ku!$N$50:$N$55</c:f>
              <c:numCache>
                <c:formatCode>General</c:formatCode>
                <c:ptCount val="6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  <c:pt idx="5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584-4EED-9D43-54A68ECD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636568"/>
        <c:axId val="361636896"/>
      </c:scatterChart>
      <c:valAx>
        <c:axId val="36163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636896"/>
        <c:crosses val="autoZero"/>
        <c:crossBetween val="midCat"/>
      </c:valAx>
      <c:valAx>
        <c:axId val="36163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636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11</xdr:row>
      <xdr:rowOff>38100</xdr:rowOff>
    </xdr:from>
    <xdr:to>
      <xdr:col>12</xdr:col>
      <xdr:colOff>323849</xdr:colOff>
      <xdr:row>15</xdr:row>
      <xdr:rowOff>139327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568" t="19891" r="3435" b="64440"/>
        <a:stretch/>
      </xdr:blipFill>
      <xdr:spPr>
        <a:xfrm>
          <a:off x="4895850" y="2181225"/>
          <a:ext cx="3981449" cy="863227"/>
        </a:xfrm>
        <a:prstGeom prst="rect">
          <a:avLst/>
        </a:prstGeom>
      </xdr:spPr>
    </xdr:pic>
    <xdr:clientData/>
  </xdr:twoCellAnchor>
  <xdr:twoCellAnchor editAs="oneCell">
    <xdr:from>
      <xdr:col>7</xdr:col>
      <xdr:colOff>361949</xdr:colOff>
      <xdr:row>16</xdr:row>
      <xdr:rowOff>90151</xdr:rowOff>
    </xdr:from>
    <xdr:to>
      <xdr:col>13</xdr:col>
      <xdr:colOff>206450</xdr:colOff>
      <xdr:row>26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49" y="3185776"/>
          <a:ext cx="4587951" cy="18815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7</xdr:col>
      <xdr:colOff>466725</xdr:colOff>
      <xdr:row>31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164769</xdr:colOff>
      <xdr:row>9</xdr:row>
      <xdr:rowOff>180975</xdr:rowOff>
    </xdr:from>
    <xdr:to>
      <xdr:col>8</xdr:col>
      <xdr:colOff>218647</xdr:colOff>
      <xdr:row>14</xdr:row>
      <xdr:rowOff>114220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9119" y="2085975"/>
          <a:ext cx="4759228" cy="88574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16</xdr:row>
      <xdr:rowOff>38100</xdr:rowOff>
    </xdr:from>
    <xdr:to>
      <xdr:col>10</xdr:col>
      <xdr:colOff>158826</xdr:colOff>
      <xdr:row>29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3086100"/>
          <a:ext cx="5969076" cy="2447925"/>
        </a:xfrm>
        <a:prstGeom prst="rect">
          <a:avLst/>
        </a:prstGeom>
      </xdr:spPr>
    </xdr:pic>
    <xdr:clientData/>
  </xdr:twoCellAnchor>
  <xdr:twoCellAnchor>
    <xdr:from>
      <xdr:col>16</xdr:col>
      <xdr:colOff>957262</xdr:colOff>
      <xdr:row>6</xdr:row>
      <xdr:rowOff>95250</xdr:rowOff>
    </xdr:from>
    <xdr:to>
      <xdr:col>21</xdr:col>
      <xdr:colOff>485775</xdr:colOff>
      <xdr:row>20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295276</xdr:colOff>
      <xdr:row>12</xdr:row>
      <xdr:rowOff>95250</xdr:rowOff>
    </xdr:from>
    <xdr:to>
      <xdr:col>15</xdr:col>
      <xdr:colOff>571500</xdr:colOff>
      <xdr:row>30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8</xdr:row>
      <xdr:rowOff>9525</xdr:rowOff>
    </xdr:from>
    <xdr:to>
      <xdr:col>15</xdr:col>
      <xdr:colOff>520603</xdr:colOff>
      <xdr:row>12</xdr:row>
      <xdr:rowOff>133270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1533525"/>
          <a:ext cx="4759228" cy="885745"/>
        </a:xfrm>
        <a:prstGeom prst="rect">
          <a:avLst/>
        </a:prstGeom>
      </xdr:spPr>
    </xdr:pic>
    <xdr:clientData/>
  </xdr:twoCellAnchor>
  <xdr:twoCellAnchor>
    <xdr:from>
      <xdr:col>0</xdr:col>
      <xdr:colOff>290512</xdr:colOff>
      <xdr:row>17</xdr:row>
      <xdr:rowOff>19050</xdr:rowOff>
    </xdr:from>
    <xdr:to>
      <xdr:col>6</xdr:col>
      <xdr:colOff>161925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13</xdr:row>
      <xdr:rowOff>38100</xdr:rowOff>
    </xdr:from>
    <xdr:to>
      <xdr:col>17</xdr:col>
      <xdr:colOff>482676</xdr:colOff>
      <xdr:row>26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67325" y="2514600"/>
          <a:ext cx="5969076" cy="2447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409574</xdr:colOff>
      <xdr:row>9</xdr:row>
      <xdr:rowOff>119063</xdr:rowOff>
    </xdr:from>
    <xdr:to>
      <xdr:col>13</xdr:col>
      <xdr:colOff>1058938</xdr:colOff>
      <xdr:row>22</xdr:row>
      <xdr:rowOff>141269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5980" y="1833563"/>
          <a:ext cx="6090520" cy="2498706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14</xdr:row>
      <xdr:rowOff>38100</xdr:rowOff>
    </xdr:from>
    <xdr:to>
      <xdr:col>5</xdr:col>
      <xdr:colOff>247649</xdr:colOff>
      <xdr:row>17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033" r="48523" b="78679"/>
        <a:stretch/>
      </xdr:blipFill>
      <xdr:spPr>
        <a:xfrm>
          <a:off x="2162175" y="2705100"/>
          <a:ext cx="1581150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17</xdr:row>
      <xdr:rowOff>76200</xdr:rowOff>
    </xdr:from>
    <xdr:to>
      <xdr:col>5</xdr:col>
      <xdr:colOff>514350</xdr:colOff>
      <xdr:row>20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355" r="24138" b="78679"/>
        <a:stretch/>
      </xdr:blipFill>
      <xdr:spPr>
        <a:xfrm>
          <a:off x="2114550" y="3314700"/>
          <a:ext cx="1895476" cy="6762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20</xdr:row>
      <xdr:rowOff>152400</xdr:rowOff>
    </xdr:from>
    <xdr:to>
      <xdr:col>6</xdr:col>
      <xdr:colOff>981075</xdr:colOff>
      <xdr:row>24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650" r="24014" b="78078"/>
        <a:stretch/>
      </xdr:blipFill>
      <xdr:spPr>
        <a:xfrm>
          <a:off x="1657350" y="3962400"/>
          <a:ext cx="3429000" cy="69532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25</xdr:row>
      <xdr:rowOff>66676</xdr:rowOff>
    </xdr:from>
    <xdr:to>
      <xdr:col>7</xdr:col>
      <xdr:colOff>142875</xdr:colOff>
      <xdr:row>27</xdr:row>
      <xdr:rowOff>161926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956" t="6006" r="24384" b="78979"/>
        <a:stretch/>
      </xdr:blipFill>
      <xdr:spPr>
        <a:xfrm>
          <a:off x="1619250" y="4829176"/>
          <a:ext cx="3686176" cy="476250"/>
        </a:xfrm>
        <a:prstGeom prst="rect">
          <a:avLst/>
        </a:prstGeom>
      </xdr:spPr>
    </xdr:pic>
    <xdr:clientData/>
  </xdr:twoCellAnchor>
  <xdr:twoCellAnchor>
    <xdr:from>
      <xdr:col>14</xdr:col>
      <xdr:colOff>452438</xdr:colOff>
      <xdr:row>8</xdr:row>
      <xdr:rowOff>133351</xdr:rowOff>
    </xdr:from>
    <xdr:to>
      <xdr:col>17</xdr:col>
      <xdr:colOff>631032</xdr:colOff>
      <xdr:row>27</xdr:row>
      <xdr:rowOff>83345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72</xdr:row>
      <xdr:rowOff>0</xdr:rowOff>
    </xdr:from>
    <xdr:to>
      <xdr:col>11</xdr:col>
      <xdr:colOff>523875</xdr:colOff>
      <xdr:row>81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693" t="52895" r="15365" b="25880"/>
        <a:stretch/>
      </xdr:blipFill>
      <xdr:spPr>
        <a:xfrm>
          <a:off x="2809875" y="14001750"/>
          <a:ext cx="5629275" cy="1819275"/>
        </a:xfrm>
        <a:prstGeom prst="rect">
          <a:avLst/>
        </a:prstGeom>
      </xdr:spPr>
    </xdr:pic>
    <xdr:clientData/>
  </xdr:twoCellAnchor>
  <xdr:twoCellAnchor>
    <xdr:from>
      <xdr:col>19</xdr:col>
      <xdr:colOff>266700</xdr:colOff>
      <xdr:row>10</xdr:row>
      <xdr:rowOff>76200</xdr:rowOff>
    </xdr:from>
    <xdr:to>
      <xdr:col>26</xdr:col>
      <xdr:colOff>1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271462</xdr:colOff>
      <xdr:row>56</xdr:row>
      <xdr:rowOff>19050</xdr:rowOff>
    </xdr:from>
    <xdr:to>
      <xdr:col>11</xdr:col>
      <xdr:colOff>242887</xdr:colOff>
      <xdr:row>70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10"/>
  <sheetViews>
    <sheetView tabSelected="1" workbookViewId="0">
      <selection activeCell="F34" sqref="F34"/>
    </sheetView>
  </sheetViews>
  <sheetFormatPr defaultRowHeight="15" x14ac:dyDescent="0.25"/>
  <cols>
    <col min="1" max="1" width="12.28515625" customWidth="1"/>
    <col min="6" max="6" width="8.7109375" customWidth="1"/>
    <col min="7" max="7" width="8.7109375" style="6" customWidth="1"/>
    <col min="8" max="8" width="11.42578125" style="6" customWidth="1"/>
    <col min="11" max="11" width="16.7109375" customWidth="1"/>
    <col min="12" max="12" width="15.5703125" customWidth="1"/>
    <col min="15" max="15" width="14" customWidth="1"/>
  </cols>
  <sheetData>
    <row r="4" spans="1:17" ht="18.75" x14ac:dyDescent="0.25">
      <c r="A4" s="22" t="s">
        <v>67</v>
      </c>
      <c r="B4" s="19" t="s">
        <v>0</v>
      </c>
      <c r="C4" s="19" t="s">
        <v>68</v>
      </c>
      <c r="D4" s="19" t="s">
        <v>13</v>
      </c>
      <c r="E4" s="19" t="s">
        <v>14</v>
      </c>
      <c r="F4" s="19" t="s">
        <v>42</v>
      </c>
      <c r="G4" s="23" t="s">
        <v>43</v>
      </c>
      <c r="H4" s="23" t="s">
        <v>44</v>
      </c>
      <c r="I4" s="19" t="s">
        <v>18</v>
      </c>
      <c r="J4" s="19"/>
      <c r="K4" s="19" t="s">
        <v>46</v>
      </c>
      <c r="L4" s="19" t="s">
        <v>45</v>
      </c>
      <c r="M4" s="19"/>
      <c r="N4" s="19"/>
      <c r="O4" s="19" t="s">
        <v>49</v>
      </c>
    </row>
    <row r="5" spans="1:17" x14ac:dyDescent="0.25">
      <c r="A5">
        <v>995.7</v>
      </c>
      <c r="B5">
        <v>9.8070000000000004</v>
      </c>
      <c r="C5">
        <v>2512</v>
      </c>
      <c r="D5">
        <v>0.7</v>
      </c>
      <c r="E5">
        <v>0.12</v>
      </c>
      <c r="F5">
        <v>0</v>
      </c>
      <c r="G5" s="6">
        <f>POWER(D5-E5,2)</f>
        <v>0.33639999999999998</v>
      </c>
      <c r="H5" s="6">
        <f>-(C5/(2*B5))*POWER((D5-E5),2)</f>
        <v>-43.083348628530629</v>
      </c>
      <c r="I5">
        <v>1</v>
      </c>
      <c r="K5" s="6">
        <v>2.5779999999999998</v>
      </c>
      <c r="L5" s="6">
        <f>H5+O5</f>
        <v>-46.703348628530627</v>
      </c>
      <c r="N5">
        <v>-36.200000000000003</v>
      </c>
      <c r="O5">
        <f>N5/10</f>
        <v>-3.62</v>
      </c>
      <c r="P5" s="6"/>
      <c r="Q5" s="6"/>
    </row>
    <row r="6" spans="1:17" x14ac:dyDescent="0.25">
      <c r="A6">
        <v>995.7</v>
      </c>
      <c r="B6">
        <v>9.8070000000000004</v>
      </c>
      <c r="C6">
        <v>2512</v>
      </c>
      <c r="D6">
        <v>0.7</v>
      </c>
      <c r="E6">
        <v>9.9000000000000005E-2</v>
      </c>
      <c r="F6">
        <v>0</v>
      </c>
      <c r="G6" s="6">
        <f t="shared" ref="G6:G10" si="0">POWER(D6-E6,2)</f>
        <v>0.36120099999999999</v>
      </c>
      <c r="H6" s="6">
        <f t="shared" ref="H6:H10" si="1">-(C6/(2*B6))*POWER((D6-E6),2)</f>
        <v>-46.259656979708367</v>
      </c>
      <c r="I6">
        <v>0.8</v>
      </c>
      <c r="K6" s="6">
        <v>2.5289999999999999</v>
      </c>
      <c r="L6" s="6">
        <f>H6+O6</f>
        <v>-49.769656979708365</v>
      </c>
      <c r="N6">
        <v>-35.1</v>
      </c>
      <c r="O6">
        <f t="shared" ref="O6:O10" si="2">N6/10</f>
        <v>-3.5100000000000002</v>
      </c>
      <c r="P6" s="6"/>
      <c r="Q6" s="6"/>
    </row>
    <row r="7" spans="1:17" x14ac:dyDescent="0.25">
      <c r="A7">
        <v>995.7</v>
      </c>
      <c r="B7">
        <v>9.8070000000000004</v>
      </c>
      <c r="C7">
        <v>2512</v>
      </c>
      <c r="D7">
        <v>0.7</v>
      </c>
      <c r="E7">
        <v>7.9000000000000001E-2</v>
      </c>
      <c r="F7">
        <v>0</v>
      </c>
      <c r="G7" s="6">
        <f t="shared" si="0"/>
        <v>0.38564100000000001</v>
      </c>
      <c r="H7" s="6">
        <f t="shared" si="1"/>
        <v>-49.389731416335266</v>
      </c>
      <c r="I7">
        <v>0.6</v>
      </c>
      <c r="K7" s="6">
        <v>2.4750000000000001</v>
      </c>
      <c r="L7" s="6">
        <f t="shared" ref="L7:L10" si="3">H7+O7</f>
        <v>-52.769731416335269</v>
      </c>
      <c r="N7">
        <v>-33.799999999999997</v>
      </c>
      <c r="O7">
        <f t="shared" si="2"/>
        <v>-3.38</v>
      </c>
      <c r="P7" s="6"/>
      <c r="Q7" s="6"/>
    </row>
    <row r="8" spans="1:17" x14ac:dyDescent="0.25">
      <c r="A8">
        <v>995.7</v>
      </c>
      <c r="B8">
        <v>9.8070000000000004</v>
      </c>
      <c r="C8">
        <v>2512</v>
      </c>
      <c r="D8">
        <v>0.7</v>
      </c>
      <c r="E8">
        <v>5.8000000000000003E-2</v>
      </c>
      <c r="F8">
        <v>0</v>
      </c>
      <c r="G8" s="6">
        <f t="shared" si="0"/>
        <v>0.41216399999999986</v>
      </c>
      <c r="H8" s="6">
        <f t="shared" si="1"/>
        <v>-52.786579382074002</v>
      </c>
      <c r="I8">
        <v>0.4</v>
      </c>
      <c r="K8" s="6">
        <v>2.427</v>
      </c>
      <c r="L8" s="6">
        <f t="shared" si="3"/>
        <v>-56.076579382074002</v>
      </c>
      <c r="N8">
        <v>-32.9</v>
      </c>
      <c r="O8">
        <f t="shared" si="2"/>
        <v>-3.29</v>
      </c>
      <c r="P8" s="6"/>
      <c r="Q8" s="6"/>
    </row>
    <row r="9" spans="1:17" x14ac:dyDescent="0.25">
      <c r="A9">
        <v>995.7</v>
      </c>
      <c r="B9">
        <v>9.8070000000000004</v>
      </c>
      <c r="C9">
        <v>2512</v>
      </c>
      <c r="D9">
        <v>0.7</v>
      </c>
      <c r="E9">
        <v>3.4000000000000002E-2</v>
      </c>
      <c r="F9">
        <v>0</v>
      </c>
      <c r="G9" s="6">
        <f t="shared" si="0"/>
        <v>0.44355599999999989</v>
      </c>
      <c r="H9" s="6">
        <f t="shared" si="1"/>
        <v>-56.807008871214414</v>
      </c>
      <c r="I9">
        <v>0.2</v>
      </c>
      <c r="K9" s="6">
        <v>2.2130000000000001</v>
      </c>
      <c r="L9" s="6">
        <f t="shared" si="3"/>
        <v>-59.717008871214418</v>
      </c>
      <c r="N9">
        <v>-29.1</v>
      </c>
      <c r="O9">
        <f t="shared" si="2"/>
        <v>-2.91</v>
      </c>
      <c r="P9" s="6"/>
      <c r="Q9" s="6"/>
    </row>
    <row r="10" spans="1:17" x14ac:dyDescent="0.25">
      <c r="A10">
        <v>995.7</v>
      </c>
      <c r="B10">
        <v>9.8070000000000004</v>
      </c>
      <c r="C10">
        <v>2512</v>
      </c>
      <c r="D10">
        <v>0.7</v>
      </c>
      <c r="E10">
        <v>0</v>
      </c>
      <c r="F10">
        <v>0</v>
      </c>
      <c r="G10" s="6">
        <f t="shared" si="0"/>
        <v>0.48999999999999994</v>
      </c>
      <c r="H10" s="6">
        <f t="shared" si="1"/>
        <v>-62.755174875089203</v>
      </c>
      <c r="I10">
        <v>0.01</v>
      </c>
      <c r="K10" s="6">
        <v>1.246</v>
      </c>
      <c r="L10" s="6">
        <f t="shared" si="3"/>
        <v>-62.857674875089202</v>
      </c>
      <c r="N10">
        <v>-1.0249999999999999</v>
      </c>
      <c r="O10">
        <f t="shared" si="2"/>
        <v>-0.10249999999999999</v>
      </c>
      <c r="P10" s="6"/>
      <c r="Q10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9"/>
  <sheetViews>
    <sheetView workbookViewId="0">
      <selection activeCell="Q27" sqref="Q27"/>
    </sheetView>
  </sheetViews>
  <sheetFormatPr defaultRowHeight="15" x14ac:dyDescent="0.25"/>
  <cols>
    <col min="1" max="1" width="5.42578125" customWidth="1"/>
    <col min="4" max="4" width="12.7109375" style="3" customWidth="1"/>
    <col min="5" max="6" width="6.85546875" style="3" customWidth="1"/>
    <col min="7" max="7" width="13.85546875" customWidth="1"/>
    <col min="8" max="8" width="12" customWidth="1"/>
    <col min="17" max="17" width="18.85546875" customWidth="1"/>
  </cols>
  <sheetData>
    <row r="2" spans="2:20" x14ac:dyDescent="0.25">
      <c r="B2" s="19" t="s">
        <v>15</v>
      </c>
      <c r="C2" s="19" t="s">
        <v>16</v>
      </c>
      <c r="D2" s="20" t="s">
        <v>13</v>
      </c>
      <c r="E2" s="20" t="s">
        <v>14</v>
      </c>
      <c r="F2" s="20" t="s">
        <v>17</v>
      </c>
      <c r="G2" s="19" t="s">
        <v>20</v>
      </c>
      <c r="H2" s="20" t="s">
        <v>19</v>
      </c>
      <c r="I2" s="20" t="s">
        <v>18</v>
      </c>
      <c r="J2" s="21" t="s">
        <v>47</v>
      </c>
      <c r="L2" s="18" t="s">
        <v>4</v>
      </c>
      <c r="M2" t="s">
        <v>2</v>
      </c>
    </row>
    <row r="3" spans="2:20" x14ac:dyDescent="0.25">
      <c r="B3">
        <v>0.99819999999999998</v>
      </c>
      <c r="C3">
        <v>638</v>
      </c>
      <c r="D3" s="3">
        <v>0.7</v>
      </c>
      <c r="E3" s="3">
        <v>0.12</v>
      </c>
      <c r="F3" s="3">
        <f t="shared" ref="F3:F8" si="0">POWER(E3,2)</f>
        <v>1.44E-2</v>
      </c>
      <c r="G3" s="5">
        <f>((B3*C3)/2)*((2*D3*E3)-F3)+0</f>
        <v>48.910202879999993</v>
      </c>
      <c r="H3" s="5">
        <v>20</v>
      </c>
      <c r="I3" s="3">
        <v>1</v>
      </c>
      <c r="J3" s="14">
        <v>-36.200000000000003</v>
      </c>
      <c r="K3" s="14"/>
      <c r="L3" s="19" t="s">
        <v>66</v>
      </c>
      <c r="M3" t="s">
        <v>3</v>
      </c>
      <c r="Q3" s="19" t="s">
        <v>12</v>
      </c>
      <c r="R3">
        <v>6.9399999999999996E-4</v>
      </c>
    </row>
    <row r="4" spans="2:20" x14ac:dyDescent="0.25">
      <c r="B4">
        <v>0.99819999999999998</v>
      </c>
      <c r="C4">
        <v>638</v>
      </c>
      <c r="D4" s="3">
        <v>0.7</v>
      </c>
      <c r="E4" s="3">
        <v>9.9000000000000005E-2</v>
      </c>
      <c r="F4" s="3">
        <f t="shared" si="0"/>
        <v>9.8010000000000007E-3</v>
      </c>
      <c r="G4" s="5">
        <f t="shared" ref="G4:G8" si="1">((B4*C4)/2)*((2*D4*E4)-F4)+0</f>
        <v>41.012924614199996</v>
      </c>
      <c r="H4" s="5">
        <v>20</v>
      </c>
      <c r="I4" s="3">
        <v>0.8</v>
      </c>
      <c r="J4" s="14">
        <v>-35.1</v>
      </c>
      <c r="K4" s="14"/>
      <c r="L4" s="18" t="s">
        <v>5</v>
      </c>
      <c r="M4" t="s">
        <v>10</v>
      </c>
      <c r="Q4" s="19" t="s">
        <v>11</v>
      </c>
      <c r="R4">
        <v>4</v>
      </c>
      <c r="T4">
        <f>R3/R4</f>
        <v>1.7349999999999999E-4</v>
      </c>
    </row>
    <row r="5" spans="2:20" x14ac:dyDescent="0.25">
      <c r="B5">
        <v>0.99819999999999998</v>
      </c>
      <c r="C5">
        <v>638</v>
      </c>
      <c r="D5" s="3">
        <v>0.7</v>
      </c>
      <c r="E5" s="3">
        <v>7.9000000000000001E-2</v>
      </c>
      <c r="F5" s="3">
        <f t="shared" si="0"/>
        <v>6.241E-3</v>
      </c>
      <c r="G5" s="5">
        <f t="shared" si="1"/>
        <v>33.230598062199995</v>
      </c>
      <c r="H5" s="5">
        <v>20</v>
      </c>
      <c r="I5" s="3">
        <v>0.6</v>
      </c>
      <c r="J5" s="14">
        <v>-33.799999999999997</v>
      </c>
      <c r="K5" s="14"/>
      <c r="L5" s="18" t="s">
        <v>6</v>
      </c>
      <c r="M5" t="s">
        <v>9</v>
      </c>
    </row>
    <row r="6" spans="2:20" x14ac:dyDescent="0.25">
      <c r="B6">
        <v>0.99819999999999998</v>
      </c>
      <c r="C6">
        <v>638</v>
      </c>
      <c r="D6" s="3">
        <v>0.7</v>
      </c>
      <c r="E6" s="3">
        <v>5.8000000000000003E-2</v>
      </c>
      <c r="F6" s="3">
        <f t="shared" si="0"/>
        <v>3.3640000000000002E-3</v>
      </c>
      <c r="G6" s="5">
        <f t="shared" si="1"/>
        <v>24.784990568799994</v>
      </c>
      <c r="H6" s="5">
        <v>20</v>
      </c>
      <c r="I6" s="3">
        <v>0.4</v>
      </c>
      <c r="J6" s="14">
        <v>-32.9</v>
      </c>
      <c r="K6" s="14"/>
      <c r="L6" s="18" t="s">
        <v>7</v>
      </c>
      <c r="M6" t="s">
        <v>8</v>
      </c>
    </row>
    <row r="7" spans="2:20" x14ac:dyDescent="0.25">
      <c r="B7">
        <v>0.99819999999999998</v>
      </c>
      <c r="C7">
        <v>638</v>
      </c>
      <c r="D7" s="3">
        <v>0.7</v>
      </c>
      <c r="E7" s="3">
        <v>3.4000000000000002E-2</v>
      </c>
      <c r="F7" s="3">
        <f t="shared" si="0"/>
        <v>1.1560000000000001E-3</v>
      </c>
      <c r="G7" s="5">
        <f t="shared" si="1"/>
        <v>14.788967855200001</v>
      </c>
      <c r="H7" s="5">
        <v>14.6</v>
      </c>
      <c r="I7" s="3">
        <v>0.2</v>
      </c>
      <c r="J7" s="14">
        <v>-29.1</v>
      </c>
      <c r="K7" s="14"/>
    </row>
    <row r="8" spans="2:20" x14ac:dyDescent="0.25">
      <c r="B8">
        <v>0.99819999999999998</v>
      </c>
      <c r="C8">
        <v>638</v>
      </c>
      <c r="D8" s="3">
        <v>0.7</v>
      </c>
      <c r="E8" s="3">
        <v>5.0000000000000001E-3</v>
      </c>
      <c r="F8" s="3">
        <f t="shared" si="0"/>
        <v>2.5000000000000001E-5</v>
      </c>
      <c r="G8" s="5">
        <f t="shared" si="1"/>
        <v>2.2210199549999996</v>
      </c>
      <c r="H8" s="5">
        <v>2.6</v>
      </c>
      <c r="I8" s="3">
        <v>0.01</v>
      </c>
      <c r="J8" s="14">
        <v>-1.0249999999999999</v>
      </c>
      <c r="K8" s="14"/>
    </row>
    <row r="9" spans="2:20" x14ac:dyDescent="0.25">
      <c r="G9">
        <v>0.01</v>
      </c>
      <c r="H9" s="5">
        <v>0.01</v>
      </c>
      <c r="I9" s="3">
        <v>0.01</v>
      </c>
    </row>
    <row r="10" spans="2:20" x14ac:dyDescent="0.25">
      <c r="I10" s="3"/>
    </row>
    <row r="11" spans="2:20" x14ac:dyDescent="0.25">
      <c r="I11" s="3"/>
      <c r="K11">
        <v>1</v>
      </c>
      <c r="L11">
        <v>5</v>
      </c>
      <c r="M11">
        <f>K11/L11</f>
        <v>0.2</v>
      </c>
    </row>
    <row r="13" spans="2:20" x14ac:dyDescent="0.25">
      <c r="I13" s="7"/>
      <c r="J13" s="7"/>
      <c r="K13" s="7"/>
      <c r="L13" s="7"/>
    </row>
    <row r="14" spans="2:20" x14ac:dyDescent="0.25">
      <c r="I14" s="1"/>
      <c r="J14" s="1"/>
      <c r="K14" s="12"/>
      <c r="L14" s="5"/>
    </row>
    <row r="15" spans="2:20" x14ac:dyDescent="0.25">
      <c r="I15" s="1"/>
      <c r="J15" s="1"/>
      <c r="K15" s="12"/>
      <c r="L15" s="5"/>
    </row>
    <row r="16" spans="2:20" x14ac:dyDescent="0.25">
      <c r="I16" s="1"/>
      <c r="J16" s="1"/>
      <c r="K16" s="12"/>
      <c r="L16" s="5"/>
    </row>
    <row r="17" spans="9:20" x14ac:dyDescent="0.25">
      <c r="I17" s="1"/>
      <c r="J17" s="1"/>
      <c r="K17" s="12"/>
      <c r="L17" s="5"/>
      <c r="T17" s="8"/>
    </row>
    <row r="18" spans="9:20" x14ac:dyDescent="0.25">
      <c r="I18" s="1"/>
      <c r="J18" s="1"/>
      <c r="K18" s="12"/>
      <c r="L18" s="5"/>
    </row>
    <row r="19" spans="9:20" x14ac:dyDescent="0.25">
      <c r="I19" s="1"/>
      <c r="J19" s="1"/>
      <c r="K19" s="12"/>
      <c r="L19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workbookViewId="0">
      <selection activeCell="I35" sqref="I35"/>
    </sheetView>
  </sheetViews>
  <sheetFormatPr defaultRowHeight="15" x14ac:dyDescent="0.25"/>
  <cols>
    <col min="6" max="6" width="15" customWidth="1"/>
    <col min="9" max="13" width="9.140625" style="5"/>
  </cols>
  <sheetData>
    <row r="1" spans="1:13" x14ac:dyDescent="0.25">
      <c r="A1" s="19" t="s">
        <v>15</v>
      </c>
      <c r="B1" s="19" t="s">
        <v>16</v>
      </c>
      <c r="C1" s="20" t="s">
        <v>13</v>
      </c>
      <c r="D1" s="20" t="s">
        <v>14</v>
      </c>
      <c r="E1" s="20" t="s">
        <v>17</v>
      </c>
      <c r="F1" s="19" t="s">
        <v>20</v>
      </c>
      <c r="G1" s="20" t="s">
        <v>18</v>
      </c>
      <c r="H1" s="20"/>
      <c r="I1" s="24" t="s">
        <v>21</v>
      </c>
      <c r="J1" s="24" t="s">
        <v>22</v>
      </c>
      <c r="K1" s="24">
        <v>150</v>
      </c>
      <c r="L1" s="24" t="s">
        <v>24</v>
      </c>
      <c r="M1" s="24" t="s">
        <v>23</v>
      </c>
    </row>
    <row r="2" spans="1:13" x14ac:dyDescent="0.25">
      <c r="A2">
        <v>0.99819999999999998</v>
      </c>
      <c r="B2">
        <v>638</v>
      </c>
      <c r="C2" s="3">
        <v>0.7</v>
      </c>
      <c r="D2" s="3">
        <v>0.12</v>
      </c>
      <c r="E2" s="3">
        <f t="shared" ref="E2:E7" si="0">POWER(D2,2)</f>
        <v>1.44E-2</v>
      </c>
      <c r="F2" s="5">
        <f>((A2*B2)/2)*((2*C2*D2)-E2)+0</f>
        <v>48.910202879999993</v>
      </c>
      <c r="G2" s="3">
        <v>1</v>
      </c>
      <c r="H2" s="3"/>
      <c r="I2" s="5">
        <v>8.1261465600000005</v>
      </c>
      <c r="J2" s="5">
        <v>16.328954879999998</v>
      </c>
      <c r="K2" s="5">
        <v>19</v>
      </c>
      <c r="L2" s="5">
        <v>25</v>
      </c>
      <c r="M2" s="5">
        <v>28</v>
      </c>
    </row>
    <row r="3" spans="1:13" x14ac:dyDescent="0.25">
      <c r="A3">
        <v>0.99819999999999998</v>
      </c>
      <c r="B3">
        <v>638</v>
      </c>
      <c r="C3" s="3">
        <v>0.7</v>
      </c>
      <c r="D3" s="3">
        <v>9.9000000000000005E-2</v>
      </c>
      <c r="E3" s="3">
        <f t="shared" si="0"/>
        <v>9.8010000000000007E-3</v>
      </c>
      <c r="F3" s="5">
        <f t="shared" ref="F3:F7" si="1">((A3*B3)/2)*((2*C3*D3)-E3)+0</f>
        <v>41.012924614199996</v>
      </c>
      <c r="G3" s="3">
        <v>0.8</v>
      </c>
      <c r="H3" s="3"/>
      <c r="I3" s="5">
        <v>6.8140595754</v>
      </c>
      <c r="J3" s="5">
        <v>13.6924027317</v>
      </c>
      <c r="K3" s="5">
        <v>17</v>
      </c>
      <c r="L3" s="5">
        <v>24</v>
      </c>
      <c r="M3" s="5">
        <v>28</v>
      </c>
    </row>
    <row r="4" spans="1:13" x14ac:dyDescent="0.25">
      <c r="A4">
        <v>0.99819999999999998</v>
      </c>
      <c r="B4">
        <v>638</v>
      </c>
      <c r="C4" s="3">
        <v>0.7</v>
      </c>
      <c r="D4" s="3">
        <v>7.9000000000000001E-2</v>
      </c>
      <c r="E4" s="3">
        <f t="shared" si="0"/>
        <v>6.241E-3</v>
      </c>
      <c r="F4" s="5">
        <f t="shared" si="1"/>
        <v>33.230598062199995</v>
      </c>
      <c r="G4" s="3">
        <v>0.6</v>
      </c>
      <c r="H4" s="3"/>
      <c r="I4" s="5">
        <v>5.5210711514000002</v>
      </c>
      <c r="J4" s="5">
        <v>11.0942278797</v>
      </c>
      <c r="K4" s="5">
        <v>15</v>
      </c>
      <c r="L4" s="5">
        <v>23</v>
      </c>
      <c r="M4" s="5">
        <v>28</v>
      </c>
    </row>
    <row r="5" spans="1:13" x14ac:dyDescent="0.25">
      <c r="A5">
        <v>0.99819999999999998</v>
      </c>
      <c r="B5">
        <v>638</v>
      </c>
      <c r="C5" s="3">
        <v>0.7</v>
      </c>
      <c r="D5" s="3">
        <v>5.8000000000000003E-2</v>
      </c>
      <c r="E5" s="3">
        <f t="shared" si="0"/>
        <v>3.3640000000000002E-3</v>
      </c>
      <c r="F5" s="5">
        <f t="shared" si="1"/>
        <v>24.784990568799994</v>
      </c>
      <c r="G5" s="3">
        <v>0.4</v>
      </c>
      <c r="H5" s="3"/>
      <c r="I5" s="5">
        <v>4.1178824455999994</v>
      </c>
      <c r="J5" s="5">
        <v>8.2746128387999995</v>
      </c>
      <c r="K5" s="5">
        <v>12</v>
      </c>
      <c r="L5" s="5">
        <v>21</v>
      </c>
      <c r="M5" s="5">
        <v>28</v>
      </c>
    </row>
    <row r="6" spans="1:13" x14ac:dyDescent="0.25">
      <c r="A6">
        <v>0.99819999999999998</v>
      </c>
      <c r="B6">
        <v>638</v>
      </c>
      <c r="C6" s="3">
        <v>0.7</v>
      </c>
      <c r="D6" s="3">
        <v>3.4000000000000002E-2</v>
      </c>
      <c r="E6" s="3">
        <f t="shared" si="0"/>
        <v>1.1560000000000001E-3</v>
      </c>
      <c r="F6" s="5">
        <f t="shared" si="1"/>
        <v>14.788967855200001</v>
      </c>
      <c r="G6" s="3">
        <v>0.2</v>
      </c>
      <c r="H6" s="3"/>
      <c r="I6" s="5">
        <v>2.4571012424000003</v>
      </c>
      <c r="J6" s="5">
        <v>4.9373826852000011</v>
      </c>
      <c r="K6" s="5">
        <v>7.3944839276000005</v>
      </c>
      <c r="L6" s="5">
        <v>12.3086864124</v>
      </c>
      <c r="M6" s="5">
        <v>23</v>
      </c>
    </row>
    <row r="7" spans="1:13" x14ac:dyDescent="0.25">
      <c r="A7">
        <v>0.99819999999999998</v>
      </c>
      <c r="B7">
        <v>638</v>
      </c>
      <c r="C7" s="3">
        <v>0.7</v>
      </c>
      <c r="D7" s="3">
        <v>5.0000000000000001E-3</v>
      </c>
      <c r="E7" s="3">
        <f t="shared" si="0"/>
        <v>2.5000000000000001E-5</v>
      </c>
      <c r="F7" s="5">
        <f t="shared" si="1"/>
        <v>2.2210199549999996</v>
      </c>
      <c r="G7" s="3">
        <v>0.01</v>
      </c>
      <c r="H7" s="3"/>
      <c r="I7" s="5">
        <v>1</v>
      </c>
      <c r="J7" s="5">
        <v>1.5</v>
      </c>
      <c r="K7" s="5">
        <v>2</v>
      </c>
      <c r="L7" s="5">
        <v>1.8485291474999996</v>
      </c>
      <c r="M7" s="5">
        <v>5</v>
      </c>
    </row>
    <row r="8" spans="1:13" x14ac:dyDescent="0.25">
      <c r="C8" s="3"/>
      <c r="D8" s="3"/>
      <c r="E8" s="3"/>
      <c r="G8" s="3"/>
      <c r="H8" s="3"/>
    </row>
    <row r="10" spans="1:13" x14ac:dyDescent="0.25">
      <c r="B10" s="19" t="s">
        <v>21</v>
      </c>
      <c r="C10" s="19" t="s">
        <v>22</v>
      </c>
      <c r="D10" s="19">
        <v>150</v>
      </c>
      <c r="E10" s="19" t="s">
        <v>48</v>
      </c>
      <c r="F10" s="19" t="s">
        <v>24</v>
      </c>
      <c r="G10" s="19" t="s">
        <v>23</v>
      </c>
    </row>
    <row r="11" spans="1:13" x14ac:dyDescent="0.25">
      <c r="B11">
        <v>-8.1261465600000005</v>
      </c>
      <c r="C11">
        <v>-16.328954880000001</v>
      </c>
      <c r="D11">
        <v>-19</v>
      </c>
      <c r="E11">
        <v>-25</v>
      </c>
      <c r="F11" s="5">
        <v>-29</v>
      </c>
      <c r="G11">
        <v>-34.5</v>
      </c>
    </row>
    <row r="12" spans="1:13" x14ac:dyDescent="0.25">
      <c r="B12">
        <v>-6.8140595754</v>
      </c>
      <c r="C12">
        <v>-13.6924027317</v>
      </c>
      <c r="D12">
        <v>-18</v>
      </c>
      <c r="E12">
        <v>-24</v>
      </c>
      <c r="F12" s="5">
        <v>-28.4</v>
      </c>
      <c r="G12">
        <v>-34.1</v>
      </c>
    </row>
    <row r="13" spans="1:13" x14ac:dyDescent="0.25">
      <c r="B13">
        <v>-5.5210711514000002</v>
      </c>
      <c r="C13">
        <v>-11.0942278797</v>
      </c>
      <c r="D13">
        <v>-17</v>
      </c>
      <c r="E13">
        <v>-23</v>
      </c>
      <c r="F13" s="5">
        <v>-28</v>
      </c>
      <c r="G13">
        <v>-33.799999999999997</v>
      </c>
    </row>
    <row r="14" spans="1:13" x14ac:dyDescent="0.25">
      <c r="B14">
        <v>-4.1178824456000003</v>
      </c>
      <c r="C14">
        <v>-8.2746128387999995</v>
      </c>
      <c r="D14">
        <v>-14</v>
      </c>
      <c r="E14">
        <v>-21</v>
      </c>
      <c r="F14" s="5">
        <v>-27.2</v>
      </c>
      <c r="G14">
        <v>-33.6</v>
      </c>
    </row>
    <row r="15" spans="1:13" x14ac:dyDescent="0.25">
      <c r="B15">
        <v>-2.4571012423999998</v>
      </c>
      <c r="C15">
        <v>-4.9373826852000002</v>
      </c>
      <c r="D15">
        <v>-9.3944839275999996</v>
      </c>
      <c r="E15">
        <v>-14.64124</v>
      </c>
      <c r="F15" s="5">
        <v>-23.5</v>
      </c>
      <c r="G15">
        <v>-30.9</v>
      </c>
    </row>
    <row r="16" spans="1:13" x14ac:dyDescent="0.25">
      <c r="B16">
        <v>-1</v>
      </c>
      <c r="C16">
        <v>-1.5</v>
      </c>
      <c r="D16">
        <v>-2</v>
      </c>
      <c r="E16">
        <v>-1.8485291475000001</v>
      </c>
      <c r="F16" s="5">
        <v>-1.2</v>
      </c>
      <c r="G16">
        <v>-1.0249999999999999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zoomScale="80" zoomScaleNormal="80" workbookViewId="0">
      <selection activeCell="J29" sqref="J29"/>
    </sheetView>
  </sheetViews>
  <sheetFormatPr defaultRowHeight="15" x14ac:dyDescent="0.25"/>
  <cols>
    <col min="2" max="2" width="15.140625" customWidth="1"/>
    <col min="5" max="5" width="11.42578125" customWidth="1"/>
    <col min="7" max="7" width="15.85546875" customWidth="1"/>
    <col min="8" max="8" width="17.42578125" customWidth="1"/>
    <col min="12" max="12" width="19.42578125" customWidth="1"/>
    <col min="13" max="13" width="17.28515625" customWidth="1"/>
    <col min="14" max="14" width="20.5703125" customWidth="1"/>
    <col min="16" max="16" width="20.5703125" customWidth="1"/>
    <col min="17" max="17" width="20.140625" customWidth="1"/>
    <col min="18" max="18" width="22.7109375" customWidth="1"/>
  </cols>
  <sheetData>
    <row r="1" spans="1:18" x14ac:dyDescent="0.25">
      <c r="A1" s="18" t="s">
        <v>4</v>
      </c>
      <c r="B1">
        <v>5.0000000000000001E-3</v>
      </c>
      <c r="C1" t="s">
        <v>28</v>
      </c>
      <c r="G1" s="19"/>
      <c r="H1" s="19"/>
      <c r="I1" s="19"/>
      <c r="J1" s="19"/>
      <c r="K1" s="19"/>
      <c r="L1" s="19" t="s">
        <v>40</v>
      </c>
      <c r="M1" s="19" t="s">
        <v>37</v>
      </c>
      <c r="N1" s="19" t="s">
        <v>41</v>
      </c>
      <c r="O1" s="19"/>
      <c r="P1" s="20" t="s">
        <v>40</v>
      </c>
      <c r="Q1" s="20" t="s">
        <v>37</v>
      </c>
      <c r="R1" s="20" t="s">
        <v>41</v>
      </c>
    </row>
    <row r="2" spans="1:18" x14ac:dyDescent="0.25">
      <c r="A2" s="19" t="s">
        <v>66</v>
      </c>
      <c r="B2">
        <v>0.12</v>
      </c>
      <c r="C2" t="s">
        <v>29</v>
      </c>
      <c r="G2" s="26" t="s">
        <v>36</v>
      </c>
      <c r="H2" s="11">
        <f>-1/B1*B34</f>
        <v>68.776958759288021</v>
      </c>
      <c r="I2" s="19"/>
      <c r="J2" s="19"/>
      <c r="K2" s="20" t="s">
        <v>18</v>
      </c>
      <c r="L2" s="19" t="s">
        <v>38</v>
      </c>
      <c r="M2" s="19" t="s">
        <v>38</v>
      </c>
      <c r="N2" s="19" t="s">
        <v>39</v>
      </c>
      <c r="O2" s="19"/>
      <c r="P2" s="20" t="s">
        <v>38</v>
      </c>
      <c r="Q2" s="20" t="s">
        <v>38</v>
      </c>
      <c r="R2" s="20" t="s">
        <v>39</v>
      </c>
    </row>
    <row r="3" spans="1:18" x14ac:dyDescent="0.25">
      <c r="A3" s="18" t="s">
        <v>5</v>
      </c>
      <c r="B3">
        <v>0</v>
      </c>
      <c r="C3" t="s">
        <v>28</v>
      </c>
      <c r="K3" s="3">
        <v>1</v>
      </c>
      <c r="L3" s="3">
        <v>69.682000000000002</v>
      </c>
      <c r="M3">
        <v>43.68</v>
      </c>
      <c r="N3">
        <v>25.268000000000001</v>
      </c>
      <c r="P3">
        <v>-166.8</v>
      </c>
      <c r="Q3">
        <f t="shared" ref="Q3:Q8" si="0">P3/2</f>
        <v>-83.4</v>
      </c>
      <c r="R3">
        <v>-36.200000000000003</v>
      </c>
    </row>
    <row r="4" spans="1:18" x14ac:dyDescent="0.25">
      <c r="A4" s="18" t="s">
        <v>6</v>
      </c>
      <c r="B4">
        <v>300</v>
      </c>
      <c r="C4" t="s">
        <v>30</v>
      </c>
      <c r="K4" s="3">
        <v>0.8</v>
      </c>
      <c r="L4" s="3">
        <v>68.81</v>
      </c>
      <c r="M4">
        <v>42.8</v>
      </c>
      <c r="N4">
        <v>24.8</v>
      </c>
      <c r="P4">
        <v>-157.6</v>
      </c>
      <c r="Q4">
        <f t="shared" si="0"/>
        <v>-78.8</v>
      </c>
      <c r="R4">
        <v>-35.1</v>
      </c>
    </row>
    <row r="5" spans="1:18" x14ac:dyDescent="0.25">
      <c r="A5" s="25" t="s">
        <v>14</v>
      </c>
      <c r="B5">
        <v>5.0000000000000001E-4</v>
      </c>
      <c r="K5" s="3">
        <v>0.6</v>
      </c>
      <c r="L5" s="3">
        <v>65.75</v>
      </c>
      <c r="M5">
        <v>41.73</v>
      </c>
      <c r="N5">
        <v>24.273</v>
      </c>
      <c r="P5">
        <v>-146.5</v>
      </c>
      <c r="Q5">
        <f t="shared" si="0"/>
        <v>-73.25</v>
      </c>
      <c r="R5">
        <v>-33.799999999999997</v>
      </c>
    </row>
    <row r="6" spans="1:18" x14ac:dyDescent="0.25">
      <c r="A6" s="18" t="s">
        <v>35</v>
      </c>
      <c r="B6">
        <v>0.99570000000000003</v>
      </c>
      <c r="K6" s="3">
        <v>0.4</v>
      </c>
      <c r="L6" s="3">
        <v>50.28</v>
      </c>
      <c r="M6">
        <v>39.28</v>
      </c>
      <c r="N6">
        <v>23.8</v>
      </c>
      <c r="P6">
        <v>-131.1</v>
      </c>
      <c r="Q6">
        <f t="shared" si="0"/>
        <v>-65.55</v>
      </c>
      <c r="R6">
        <v>-32.9</v>
      </c>
    </row>
    <row r="7" spans="1:18" x14ac:dyDescent="0.25">
      <c r="A7" s="18" t="s">
        <v>34</v>
      </c>
      <c r="B7">
        <v>0.7</v>
      </c>
      <c r="K7" s="3">
        <v>0.2</v>
      </c>
      <c r="L7" s="3">
        <v>34.700000000000003</v>
      </c>
      <c r="M7">
        <v>26.7</v>
      </c>
      <c r="N7">
        <v>21.7</v>
      </c>
      <c r="P7">
        <v>-103.9</v>
      </c>
      <c r="Q7">
        <f t="shared" si="0"/>
        <v>-51.95</v>
      </c>
      <c r="R7">
        <v>-29.1</v>
      </c>
    </row>
    <row r="8" spans="1:18" x14ac:dyDescent="0.25">
      <c r="A8" s="18" t="s">
        <v>7</v>
      </c>
      <c r="B8">
        <v>638</v>
      </c>
      <c r="C8" t="s">
        <v>31</v>
      </c>
      <c r="D8">
        <f>POWER(B8,2)</f>
        <v>407044</v>
      </c>
      <c r="K8" s="3">
        <v>0.01</v>
      </c>
      <c r="L8" s="3">
        <v>21.222000000000001</v>
      </c>
      <c r="M8">
        <v>16.22</v>
      </c>
      <c r="N8">
        <v>12.22</v>
      </c>
      <c r="P8">
        <v>-4.0999999999999996</v>
      </c>
      <c r="Q8">
        <f t="shared" si="0"/>
        <v>-2.0499999999999998</v>
      </c>
      <c r="R8">
        <f>Q8/2</f>
        <v>-1.0249999999999999</v>
      </c>
    </row>
    <row r="9" spans="1:18" x14ac:dyDescent="0.25">
      <c r="A9" s="25" t="s">
        <v>25</v>
      </c>
      <c r="B9" s="17">
        <v>1.66667E-8</v>
      </c>
      <c r="C9" t="s">
        <v>53</v>
      </c>
    </row>
    <row r="10" spans="1:18" x14ac:dyDescent="0.25">
      <c r="A10" s="25" t="s">
        <v>26</v>
      </c>
      <c r="B10" s="17">
        <v>7.9629599999999997E-8</v>
      </c>
      <c r="C10" t="s">
        <v>53</v>
      </c>
    </row>
    <row r="11" spans="1:18" x14ac:dyDescent="0.25">
      <c r="A11" s="18" t="s">
        <v>27</v>
      </c>
      <c r="B11" s="10">
        <f>B9/B10</f>
        <v>0.20930282206616635</v>
      </c>
    </row>
    <row r="12" spans="1:18" x14ac:dyDescent="0.25">
      <c r="A12" s="18" t="s">
        <v>1</v>
      </c>
      <c r="B12">
        <v>2.71828</v>
      </c>
    </row>
    <row r="14" spans="1:18" x14ac:dyDescent="0.25">
      <c r="A14" s="2" t="s">
        <v>32</v>
      </c>
      <c r="B14" s="2">
        <f>B9/(B4*B10)*POWER(B12,(-B1*B3))</f>
        <v>6.9767607355388785E-4</v>
      </c>
      <c r="C14" s="2" t="s">
        <v>33</v>
      </c>
    </row>
    <row r="17" spans="1:2" x14ac:dyDescent="0.25">
      <c r="B17" s="9">
        <f>B9/(B4*B10)+POWER(B12,-B1*B3)</f>
        <v>1.000697676073554</v>
      </c>
    </row>
    <row r="18" spans="1:2" x14ac:dyDescent="0.25">
      <c r="A18">
        <v>1</v>
      </c>
      <c r="B18">
        <f>LN(B17)</f>
        <v>6.974328107413586E-4</v>
      </c>
    </row>
    <row r="19" spans="1:2" x14ac:dyDescent="0.25">
      <c r="A19">
        <v>2</v>
      </c>
      <c r="B19">
        <f>B1*D8*B6*B5*(B7-(B5/2))</f>
        <v>0.70901068533074996</v>
      </c>
    </row>
    <row r="23" spans="1:2" x14ac:dyDescent="0.25">
      <c r="A23">
        <v>3</v>
      </c>
      <c r="B23">
        <f>B18+B19</f>
        <v>0.70970811814149126</v>
      </c>
    </row>
    <row r="27" spans="1:2" x14ac:dyDescent="0.25">
      <c r="A27">
        <v>4</v>
      </c>
      <c r="B27">
        <f>LN(B23)</f>
        <v>-0.34290149468121167</v>
      </c>
    </row>
    <row r="30" spans="1:2" x14ac:dyDescent="0.25">
      <c r="A30">
        <v>5</v>
      </c>
      <c r="B30">
        <f>POWER(B12,B27)</f>
        <v>0.7097082818382584</v>
      </c>
    </row>
    <row r="32" spans="1:2" x14ac:dyDescent="0.25">
      <c r="A32">
        <v>6</v>
      </c>
      <c r="B32">
        <f>B30-(B9/(B4*B10))</f>
        <v>0.70901060576470454</v>
      </c>
    </row>
    <row r="34" spans="1:2" x14ac:dyDescent="0.25">
      <c r="A34">
        <v>7</v>
      </c>
      <c r="B34">
        <f>LN(B32)</f>
        <v>-0.3438847937964401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4"/>
  <sheetViews>
    <sheetView topLeftCell="A55" workbookViewId="0">
      <selection activeCell="N66" sqref="N66"/>
    </sheetView>
  </sheetViews>
  <sheetFormatPr defaultRowHeight="15" x14ac:dyDescent="0.25"/>
  <cols>
    <col min="1" max="1" width="13.140625" customWidth="1"/>
    <col min="2" max="2" width="9.140625" style="3"/>
    <col min="6" max="6" width="12.28515625" customWidth="1"/>
    <col min="10" max="10" width="20.140625" customWidth="1"/>
    <col min="12" max="13" width="13.28515625" customWidth="1"/>
    <col min="15" max="15" width="9.7109375" bestFit="1" customWidth="1"/>
    <col min="20" max="20" width="11.5703125" customWidth="1"/>
  </cols>
  <sheetData>
    <row r="1" spans="1:35" ht="18.75" x14ac:dyDescent="0.25">
      <c r="A1" s="19" t="s">
        <v>55</v>
      </c>
      <c r="B1" s="20" t="s">
        <v>16</v>
      </c>
      <c r="C1" s="19" t="s">
        <v>0</v>
      </c>
      <c r="D1" s="19" t="s">
        <v>13</v>
      </c>
      <c r="E1" s="19" t="s">
        <v>52</v>
      </c>
      <c r="F1" s="22" t="s">
        <v>67</v>
      </c>
      <c r="G1" s="19" t="s">
        <v>50</v>
      </c>
      <c r="H1" s="19" t="s">
        <v>51</v>
      </c>
      <c r="I1" s="19"/>
      <c r="J1" s="19"/>
      <c r="K1" s="19"/>
      <c r="L1" s="19" t="s">
        <v>56</v>
      </c>
      <c r="M1" s="19" t="s">
        <v>54</v>
      </c>
      <c r="N1" s="19" t="s">
        <v>18</v>
      </c>
      <c r="O1" s="19"/>
    </row>
    <row r="2" spans="1:35" x14ac:dyDescent="0.25">
      <c r="A2" s="16">
        <v>1.5432129629629631E-6</v>
      </c>
      <c r="B2" s="15">
        <v>2512.0140000000001</v>
      </c>
      <c r="C2">
        <v>9.8070000000000004</v>
      </c>
      <c r="D2">
        <v>0.7</v>
      </c>
      <c r="E2">
        <v>0.12</v>
      </c>
      <c r="F2">
        <v>995.7</v>
      </c>
      <c r="G2">
        <v>0</v>
      </c>
      <c r="H2">
        <v>1E-3</v>
      </c>
      <c r="J2">
        <f>(B2/C2)*(D2-E2)</f>
        <v>148.56409911287855</v>
      </c>
      <c r="K2">
        <f>(1/F2*C2)*(G2/H2)</f>
        <v>0</v>
      </c>
      <c r="L2" s="17">
        <f>(A2/(J2-K2))</f>
        <v>1.038752277419617E-8</v>
      </c>
      <c r="M2" s="7">
        <f>L2*O2</f>
        <v>0.89748196769054911</v>
      </c>
      <c r="N2">
        <v>1</v>
      </c>
      <c r="O2" s="8">
        <v>86400000</v>
      </c>
    </row>
    <row r="3" spans="1:35" x14ac:dyDescent="0.25">
      <c r="A3" s="16">
        <v>1.5432129629629631E-6</v>
      </c>
      <c r="B3" s="15">
        <v>2512.0140000000001</v>
      </c>
      <c r="C3">
        <v>9.8070000000000004</v>
      </c>
      <c r="D3">
        <v>0.7</v>
      </c>
      <c r="E3">
        <v>9.9000000000000005E-2</v>
      </c>
      <c r="F3">
        <v>995.7</v>
      </c>
      <c r="G3">
        <v>0</v>
      </c>
      <c r="H3">
        <f>E2-E3</f>
        <v>2.0999999999999991E-2</v>
      </c>
      <c r="J3">
        <f t="shared" ref="J3:J7" si="0">(B3/C3)*(D3-E3)</f>
        <v>153.94314408075866</v>
      </c>
      <c r="K3">
        <f t="shared" ref="K3:K7" si="1">(1/F3*C3)*(G3/H3)</f>
        <v>0</v>
      </c>
      <c r="L3" s="17">
        <f t="shared" ref="L3:L7" si="2">(A3/(J3-K3))</f>
        <v>1.0024564407710113E-8</v>
      </c>
      <c r="M3" s="7">
        <f>L3*O3</f>
        <v>0.86612236482615379</v>
      </c>
      <c r="N3">
        <v>0.8</v>
      </c>
      <c r="O3" s="8">
        <v>86400000</v>
      </c>
    </row>
    <row r="4" spans="1:35" x14ac:dyDescent="0.25">
      <c r="A4" s="16">
        <v>1.5432129629629631E-6</v>
      </c>
      <c r="B4" s="15">
        <v>2512.0140000000001</v>
      </c>
      <c r="C4">
        <v>9.8070000000000004</v>
      </c>
      <c r="D4">
        <v>0.7</v>
      </c>
      <c r="E4">
        <v>7.9000000000000001E-2</v>
      </c>
      <c r="F4">
        <v>995.7</v>
      </c>
      <c r="G4">
        <v>0</v>
      </c>
      <c r="H4">
        <f t="shared" ref="H4:H6" si="3">E3-E4</f>
        <v>2.0000000000000004E-2</v>
      </c>
      <c r="J4">
        <f t="shared" si="0"/>
        <v>159.06604405016824</v>
      </c>
      <c r="K4">
        <f t="shared" si="1"/>
        <v>0</v>
      </c>
      <c r="L4" s="17">
        <f t="shared" si="2"/>
        <v>9.7017120918418343E-9</v>
      </c>
      <c r="M4" s="7">
        <f>L4*O4</f>
        <v>0.83822792473513452</v>
      </c>
      <c r="N4">
        <v>0.6</v>
      </c>
      <c r="O4" s="8">
        <v>86400000</v>
      </c>
      <c r="R4" t="s">
        <v>57</v>
      </c>
    </row>
    <row r="5" spans="1:35" x14ac:dyDescent="0.25">
      <c r="A5" s="16">
        <v>1.5432129629629631E-6</v>
      </c>
      <c r="B5" s="15">
        <v>2512.0140000000001</v>
      </c>
      <c r="C5">
        <v>9.8070000000000004</v>
      </c>
      <c r="D5">
        <v>0.7</v>
      </c>
      <c r="E5">
        <v>5.8000000000000003E-2</v>
      </c>
      <c r="F5">
        <v>995.7</v>
      </c>
      <c r="G5">
        <v>0</v>
      </c>
      <c r="H5">
        <f t="shared" si="3"/>
        <v>2.0999999999999998E-2</v>
      </c>
      <c r="J5">
        <f t="shared" si="0"/>
        <v>164.44508901804832</v>
      </c>
      <c r="K5">
        <f t="shared" si="1"/>
        <v>0</v>
      </c>
      <c r="L5" s="17">
        <f t="shared" si="2"/>
        <v>9.3843663692114947E-9</v>
      </c>
      <c r="M5" s="7">
        <f>L5*O5</f>
        <v>0.81080925429987316</v>
      </c>
      <c r="N5">
        <v>0.4</v>
      </c>
      <c r="O5" s="8">
        <v>86400000</v>
      </c>
    </row>
    <row r="6" spans="1:35" x14ac:dyDescent="0.25">
      <c r="A6" s="16">
        <v>1.5432129629629631E-6</v>
      </c>
      <c r="B6" s="15">
        <v>2512.0140000000001</v>
      </c>
      <c r="C6">
        <v>9.8070000000000004</v>
      </c>
      <c r="D6">
        <v>0.7</v>
      </c>
      <c r="E6">
        <v>3.4000000000000002E-2</v>
      </c>
      <c r="F6">
        <v>995.7</v>
      </c>
      <c r="G6">
        <v>0</v>
      </c>
      <c r="H6">
        <f t="shared" si="3"/>
        <v>2.4E-2</v>
      </c>
      <c r="J6">
        <f t="shared" si="0"/>
        <v>170.59256898133987</v>
      </c>
      <c r="K6">
        <f t="shared" si="1"/>
        <v>0</v>
      </c>
      <c r="L6" s="17">
        <f t="shared" si="2"/>
        <v>9.0461910045552225E-9</v>
      </c>
      <c r="M6" s="7">
        <f>L6*O6</f>
        <v>0.78159090279357124</v>
      </c>
      <c r="N6">
        <v>0.2</v>
      </c>
      <c r="O6" s="8">
        <v>86400000</v>
      </c>
    </row>
    <row r="7" spans="1:35" x14ac:dyDescent="0.25">
      <c r="A7" s="16">
        <v>1.5432129629629631E-6</v>
      </c>
      <c r="B7" s="15">
        <v>2512.0140000000001</v>
      </c>
      <c r="C7">
        <v>9.8070000000000004</v>
      </c>
      <c r="D7">
        <v>0.7</v>
      </c>
      <c r="E7">
        <v>0</v>
      </c>
      <c r="F7">
        <v>995.7</v>
      </c>
      <c r="G7">
        <v>0</v>
      </c>
      <c r="H7">
        <f>E6-E7</f>
        <v>3.4000000000000002E-2</v>
      </c>
      <c r="J7">
        <f t="shared" si="0"/>
        <v>179.30149892933619</v>
      </c>
      <c r="K7">
        <f t="shared" si="1"/>
        <v>0</v>
      </c>
      <c r="L7" s="17">
        <f t="shared" si="2"/>
        <v>8.6068045843339696E-9</v>
      </c>
      <c r="M7" s="7">
        <v>0.5</v>
      </c>
      <c r="N7">
        <v>0.01</v>
      </c>
      <c r="O7" s="8">
        <v>86400000</v>
      </c>
    </row>
    <row r="8" spans="1:35" x14ac:dyDescent="0.25">
      <c r="A8" s="16"/>
      <c r="B8" s="15"/>
      <c r="L8" s="17"/>
      <c r="M8" s="7"/>
      <c r="O8" s="8"/>
    </row>
    <row r="9" spans="1:35" x14ac:dyDescent="0.25">
      <c r="A9" s="16"/>
      <c r="B9" s="15"/>
      <c r="L9" s="17"/>
      <c r="M9" s="7"/>
      <c r="O9" s="8"/>
    </row>
    <row r="10" spans="1:35" x14ac:dyDescent="0.25">
      <c r="A10" s="16"/>
      <c r="B10" s="15"/>
      <c r="L10" s="17"/>
      <c r="M10" s="7"/>
      <c r="O10" s="8"/>
    </row>
    <row r="11" spans="1:35" ht="18.75" x14ac:dyDescent="0.25">
      <c r="A11" s="19" t="s">
        <v>55</v>
      </c>
      <c r="B11" s="20" t="s">
        <v>16</v>
      </c>
      <c r="C11" s="19" t="s">
        <v>0</v>
      </c>
      <c r="D11" s="19" t="s">
        <v>13</v>
      </c>
      <c r="E11" s="19" t="s">
        <v>52</v>
      </c>
      <c r="F11" s="22" t="s">
        <v>67</v>
      </c>
      <c r="G11" s="19" t="s">
        <v>50</v>
      </c>
      <c r="H11" s="19" t="s">
        <v>51</v>
      </c>
      <c r="I11" s="19"/>
      <c r="J11" s="19"/>
      <c r="K11" s="19"/>
      <c r="L11" s="19" t="s">
        <v>56</v>
      </c>
      <c r="M11" s="19" t="s">
        <v>54</v>
      </c>
      <c r="N11" s="19" t="s">
        <v>18</v>
      </c>
      <c r="O11" s="19"/>
      <c r="V11" s="3"/>
      <c r="Z11" s="13"/>
    </row>
    <row r="12" spans="1:35" x14ac:dyDescent="0.25">
      <c r="A12" s="16">
        <v>3.0863888888888892E-6</v>
      </c>
      <c r="B12" s="15">
        <v>2512.0140000000001</v>
      </c>
      <c r="C12">
        <v>9.8070000000000004</v>
      </c>
      <c r="D12">
        <v>0.7</v>
      </c>
      <c r="E12">
        <v>0.12</v>
      </c>
      <c r="F12">
        <v>995.7</v>
      </c>
      <c r="G12">
        <v>0</v>
      </c>
      <c r="H12">
        <v>1E-3</v>
      </c>
      <c r="J12">
        <f>(B12/C12)*(D12-E12)</f>
        <v>148.56409911287855</v>
      </c>
      <c r="K12">
        <f>(1/F12*C12)*(G12/H12)</f>
        <v>0</v>
      </c>
      <c r="L12" s="17">
        <f>(A12/(J12-K12))</f>
        <v>2.0774796248344363E-8</v>
      </c>
      <c r="M12" s="7">
        <f>L12*O12</f>
        <v>1.794942395856953</v>
      </c>
      <c r="N12">
        <v>1</v>
      </c>
      <c r="O12" s="8">
        <v>86400000</v>
      </c>
      <c r="V12" s="15"/>
      <c r="AF12" s="17"/>
      <c r="AG12" s="7"/>
      <c r="AI12" s="8"/>
    </row>
    <row r="13" spans="1:35" x14ac:dyDescent="0.25">
      <c r="A13" s="16">
        <v>3.0863888888888892E-6</v>
      </c>
      <c r="B13" s="15">
        <v>2512.0140000000001</v>
      </c>
      <c r="C13">
        <v>9.8070000000000004</v>
      </c>
      <c r="D13">
        <v>0.7</v>
      </c>
      <c r="E13">
        <v>9.9000000000000005E-2</v>
      </c>
      <c r="F13">
        <v>995.7</v>
      </c>
      <c r="G13">
        <v>0</v>
      </c>
      <c r="H13">
        <f>E12-E13</f>
        <v>2.0999999999999991E-2</v>
      </c>
      <c r="J13">
        <f t="shared" ref="J13:J17" si="4">(B13/C13)*(D13-E13)</f>
        <v>153.94314408075866</v>
      </c>
      <c r="K13">
        <f t="shared" ref="K13:K17" si="5">(1/F13*C13)*(G13/H13)</f>
        <v>0</v>
      </c>
      <c r="L13" s="17">
        <f t="shared" ref="L13:L17" si="6">(A13/(J13-K13))</f>
        <v>2.0048888226355619E-8</v>
      </c>
      <c r="M13" s="7">
        <f>L13*O13</f>
        <v>1.7322239427571255</v>
      </c>
      <c r="N13">
        <v>0.8</v>
      </c>
      <c r="O13" s="8">
        <v>86400000</v>
      </c>
      <c r="V13" s="15"/>
      <c r="AF13" s="17"/>
      <c r="AG13" s="7"/>
      <c r="AI13" s="8"/>
    </row>
    <row r="14" spans="1:35" x14ac:dyDescent="0.25">
      <c r="A14" s="16">
        <v>3.0863888888888892E-6</v>
      </c>
      <c r="B14" s="15">
        <v>2512.0140000000001</v>
      </c>
      <c r="C14">
        <v>9.8070000000000004</v>
      </c>
      <c r="D14">
        <v>0.7</v>
      </c>
      <c r="E14">
        <v>7.9000000000000001E-2</v>
      </c>
      <c r="F14">
        <v>995.7</v>
      </c>
      <c r="G14">
        <v>0</v>
      </c>
      <c r="H14">
        <f t="shared" ref="H14:H16" si="7">E13-E14</f>
        <v>2.0000000000000004E-2</v>
      </c>
      <c r="J14">
        <f t="shared" si="4"/>
        <v>159.06604405016824</v>
      </c>
      <c r="K14">
        <f t="shared" si="5"/>
        <v>0</v>
      </c>
      <c r="L14" s="17">
        <f t="shared" si="6"/>
        <v>1.9403191343059146E-8</v>
      </c>
      <c r="M14" s="7">
        <f>L14*O14</f>
        <v>1.6764357320403103</v>
      </c>
      <c r="N14">
        <v>0.6</v>
      </c>
      <c r="O14" s="8">
        <v>86400000</v>
      </c>
      <c r="R14" t="s">
        <v>60</v>
      </c>
      <c r="V14" s="15"/>
      <c r="AF14" s="17"/>
      <c r="AG14" s="7"/>
      <c r="AI14" s="8"/>
    </row>
    <row r="15" spans="1:35" x14ac:dyDescent="0.25">
      <c r="A15" s="16">
        <v>3.0863888888888892E-6</v>
      </c>
      <c r="B15" s="15">
        <v>2512.0140000000001</v>
      </c>
      <c r="C15">
        <v>9.8070000000000004</v>
      </c>
      <c r="D15">
        <v>0.7</v>
      </c>
      <c r="E15">
        <v>5.8000000000000003E-2</v>
      </c>
      <c r="F15">
        <v>995.7</v>
      </c>
      <c r="G15">
        <v>0</v>
      </c>
      <c r="H15">
        <f t="shared" si="7"/>
        <v>2.0999999999999998E-2</v>
      </c>
      <c r="J15">
        <f t="shared" si="4"/>
        <v>164.44508901804832</v>
      </c>
      <c r="K15">
        <f t="shared" si="5"/>
        <v>0</v>
      </c>
      <c r="L15" s="17">
        <f t="shared" si="6"/>
        <v>1.8768507514080577E-8</v>
      </c>
      <c r="M15" s="7">
        <f>L15*O15</f>
        <v>1.6215990492165619</v>
      </c>
      <c r="N15">
        <v>0.4</v>
      </c>
      <c r="O15" s="8">
        <v>86400000</v>
      </c>
      <c r="V15" s="15"/>
      <c r="AF15" s="17"/>
      <c r="AG15" s="7"/>
      <c r="AI15" s="8"/>
    </row>
    <row r="16" spans="1:35" x14ac:dyDescent="0.25">
      <c r="A16" s="16">
        <v>3.0863888888888892E-6</v>
      </c>
      <c r="B16" s="15">
        <v>2512.0140000000001</v>
      </c>
      <c r="C16">
        <v>9.8070000000000004</v>
      </c>
      <c r="D16">
        <v>0.7</v>
      </c>
      <c r="E16">
        <v>3.4000000000000002E-2</v>
      </c>
      <c r="F16">
        <v>995.7</v>
      </c>
      <c r="G16">
        <v>0</v>
      </c>
      <c r="H16">
        <f t="shared" si="7"/>
        <v>2.4E-2</v>
      </c>
      <c r="J16">
        <f t="shared" si="4"/>
        <v>170.59256898133987</v>
      </c>
      <c r="K16">
        <f t="shared" si="5"/>
        <v>0</v>
      </c>
      <c r="L16" s="17">
        <f t="shared" si="6"/>
        <v>1.8092164900960554E-8</v>
      </c>
      <c r="M16" s="7">
        <f>L16*O16</f>
        <v>1.5631630474429918</v>
      </c>
      <c r="N16">
        <v>0.2</v>
      </c>
      <c r="O16" s="8">
        <v>86400000</v>
      </c>
      <c r="V16" s="15"/>
      <c r="AF16" s="17"/>
      <c r="AG16" s="7"/>
      <c r="AI16" s="8"/>
    </row>
    <row r="17" spans="1:35" x14ac:dyDescent="0.25">
      <c r="A17" s="16">
        <v>3.0863888888888892E-6</v>
      </c>
      <c r="B17" s="15">
        <v>2512.0140000000001</v>
      </c>
      <c r="C17">
        <v>9.8070000000000004</v>
      </c>
      <c r="D17">
        <v>0.7</v>
      </c>
      <c r="E17">
        <v>5.0000000000000001E-3</v>
      </c>
      <c r="F17">
        <v>995.7</v>
      </c>
      <c r="G17">
        <v>0</v>
      </c>
      <c r="H17">
        <f>E16-E17</f>
        <v>2.9000000000000001E-2</v>
      </c>
      <c r="J17">
        <f t="shared" si="4"/>
        <v>178.0207739369838</v>
      </c>
      <c r="K17">
        <f t="shared" si="5"/>
        <v>0</v>
      </c>
      <c r="L17" s="17">
        <f t="shared" si="6"/>
        <v>1.7337240034589539E-8</v>
      </c>
      <c r="M17" s="7">
        <v>1.2</v>
      </c>
      <c r="N17">
        <v>0.01</v>
      </c>
      <c r="O17" s="8">
        <v>86400000</v>
      </c>
      <c r="V17" s="15"/>
      <c r="AF17" s="17"/>
      <c r="AG17" s="7"/>
      <c r="AI17" s="8"/>
    </row>
    <row r="18" spans="1:35" x14ac:dyDescent="0.25">
      <c r="A18" s="16"/>
      <c r="B18" s="15"/>
      <c r="L18" s="17"/>
      <c r="M18" s="7"/>
      <c r="O18" s="8"/>
    </row>
    <row r="19" spans="1:35" x14ac:dyDescent="0.25">
      <c r="A19" s="16"/>
      <c r="B19" s="15"/>
      <c r="L19" s="17"/>
      <c r="M19" s="7"/>
      <c r="O19" s="8"/>
    </row>
    <row r="21" spans="1:35" ht="18.75" x14ac:dyDescent="0.25">
      <c r="A21" s="19" t="s">
        <v>55</v>
      </c>
      <c r="B21" s="20" t="s">
        <v>16</v>
      </c>
      <c r="C21" s="19" t="s">
        <v>0</v>
      </c>
      <c r="D21" s="19" t="s">
        <v>13</v>
      </c>
      <c r="E21" s="19" t="s">
        <v>52</v>
      </c>
      <c r="F21" s="22" t="s">
        <v>67</v>
      </c>
      <c r="G21" s="19" t="s">
        <v>50</v>
      </c>
      <c r="H21" s="19" t="s">
        <v>51</v>
      </c>
      <c r="I21" s="19"/>
      <c r="J21" s="19"/>
      <c r="K21" s="19"/>
      <c r="L21" s="19" t="s">
        <v>61</v>
      </c>
      <c r="M21" s="19" t="s">
        <v>54</v>
      </c>
      <c r="N21" s="19"/>
    </row>
    <row r="22" spans="1:35" x14ac:dyDescent="0.25">
      <c r="A22" s="16">
        <v>4.6296296296296296E-6</v>
      </c>
      <c r="B22" s="15">
        <v>2512.0140000000001</v>
      </c>
      <c r="C22">
        <v>9.8070000000000004</v>
      </c>
      <c r="D22">
        <v>0.7</v>
      </c>
      <c r="E22">
        <v>0.12</v>
      </c>
      <c r="F22">
        <v>995.7</v>
      </c>
      <c r="G22">
        <v>0</v>
      </c>
      <c r="H22">
        <v>1E-3</v>
      </c>
      <c r="J22">
        <f>(B22/C22)*(D22-E22)</f>
        <v>148.56409911287855</v>
      </c>
      <c r="K22">
        <f>(1/F22*C22)*(G22/H22)</f>
        <v>0</v>
      </c>
      <c r="L22" s="17">
        <f>(A22/(J22-K22))</f>
        <v>3.1162505997576514E-8</v>
      </c>
      <c r="M22" s="5">
        <f>L22*N22</f>
        <v>2.6924405181906108</v>
      </c>
      <c r="N22">
        <v>86400000</v>
      </c>
    </row>
    <row r="23" spans="1:35" x14ac:dyDescent="0.25">
      <c r="A23" s="16">
        <v>4.6296296296296296E-6</v>
      </c>
      <c r="B23" s="15">
        <v>2512.0140000000001</v>
      </c>
      <c r="C23">
        <v>9.8070000000000004</v>
      </c>
      <c r="D23">
        <v>0.7</v>
      </c>
      <c r="E23">
        <v>9.9000000000000005E-2</v>
      </c>
      <c r="F23">
        <v>995.7</v>
      </c>
      <c r="G23">
        <v>0</v>
      </c>
      <c r="H23">
        <f>E22-E23</f>
        <v>2.0999999999999991E-2</v>
      </c>
      <c r="J23">
        <f t="shared" ref="J23:J27" si="8">(B23/C23)*(D23-E23)</f>
        <v>153.94314408075866</v>
      </c>
      <c r="K23">
        <f t="shared" ref="K23:K27" si="9">(1/F23*C23)*(G23/H23)</f>
        <v>0</v>
      </c>
      <c r="L23" s="17">
        <f t="shared" ref="L23:L27" si="10">(A23/(J23-K23))</f>
        <v>3.0073633075864189E-8</v>
      </c>
      <c r="M23" s="5">
        <f t="shared" ref="M23:M26" si="11">L23*N23</f>
        <v>2.5983618977546659</v>
      </c>
      <c r="N23">
        <v>86400000</v>
      </c>
    </row>
    <row r="24" spans="1:35" x14ac:dyDescent="0.25">
      <c r="A24" s="16">
        <v>4.6296296296296296E-6</v>
      </c>
      <c r="B24" s="15">
        <v>2512.0140000000001</v>
      </c>
      <c r="C24">
        <v>9.8070000000000004</v>
      </c>
      <c r="D24">
        <v>0.7</v>
      </c>
      <c r="E24">
        <v>7.9000000000000001E-2</v>
      </c>
      <c r="F24">
        <v>995.7</v>
      </c>
      <c r="G24">
        <v>0</v>
      </c>
      <c r="H24">
        <f t="shared" ref="H24:H26" si="12">E23-E24</f>
        <v>2.0000000000000004E-2</v>
      </c>
      <c r="J24">
        <f t="shared" si="8"/>
        <v>159.06604405016824</v>
      </c>
      <c r="K24">
        <f t="shared" si="9"/>
        <v>0</v>
      </c>
      <c r="L24" s="17">
        <f t="shared" si="10"/>
        <v>2.9105078065369367E-8</v>
      </c>
      <c r="M24" s="5">
        <f t="shared" si="11"/>
        <v>2.5146787448479135</v>
      </c>
      <c r="N24">
        <v>86400000</v>
      </c>
      <c r="R24" t="s">
        <v>58</v>
      </c>
    </row>
    <row r="25" spans="1:35" x14ac:dyDescent="0.25">
      <c r="A25" s="16">
        <v>4.6296296296296296E-6</v>
      </c>
      <c r="B25" s="15">
        <v>2512.0140000000001</v>
      </c>
      <c r="C25">
        <v>9.8070000000000004</v>
      </c>
      <c r="D25">
        <v>0.7</v>
      </c>
      <c r="E25">
        <v>5.8000000000000003E-2</v>
      </c>
      <c r="F25">
        <v>995.7</v>
      </c>
      <c r="G25">
        <v>0</v>
      </c>
      <c r="H25">
        <f t="shared" si="12"/>
        <v>2.0999999999999998E-2</v>
      </c>
      <c r="J25">
        <f t="shared" si="8"/>
        <v>164.44508901804832</v>
      </c>
      <c r="K25">
        <f t="shared" si="9"/>
        <v>0</v>
      </c>
      <c r="L25" s="17">
        <f t="shared" si="10"/>
        <v>2.8153042801548877E-8</v>
      </c>
      <c r="M25" s="5">
        <f t="shared" si="11"/>
        <v>2.4324228980538232</v>
      </c>
      <c r="N25">
        <v>86400000</v>
      </c>
    </row>
    <row r="26" spans="1:35" x14ac:dyDescent="0.25">
      <c r="A26" s="16">
        <v>4.6296296296296296E-6</v>
      </c>
      <c r="B26" s="15">
        <v>2512.0140000000001</v>
      </c>
      <c r="C26">
        <v>9.8070000000000004</v>
      </c>
      <c r="D26">
        <v>0.7</v>
      </c>
      <c r="E26">
        <v>3.4000000000000002E-2</v>
      </c>
      <c r="F26">
        <v>995.7</v>
      </c>
      <c r="G26">
        <v>0</v>
      </c>
      <c r="H26">
        <f t="shared" si="12"/>
        <v>2.4E-2</v>
      </c>
      <c r="J26">
        <f t="shared" si="8"/>
        <v>170.59256898133987</v>
      </c>
      <c r="K26">
        <f t="shared" si="9"/>
        <v>0</v>
      </c>
      <c r="L26" s="17">
        <f t="shared" si="10"/>
        <v>2.7138518736628192E-8</v>
      </c>
      <c r="M26" s="5">
        <f t="shared" si="11"/>
        <v>2.3447680188446758</v>
      </c>
      <c r="N26">
        <v>86400000</v>
      </c>
    </row>
    <row r="27" spans="1:35" x14ac:dyDescent="0.25">
      <c r="A27" s="16">
        <v>4.6296296296296296E-6</v>
      </c>
      <c r="B27" s="15">
        <v>2512.0140000000001</v>
      </c>
      <c r="C27">
        <v>9.8070000000000004</v>
      </c>
      <c r="D27">
        <v>0.7</v>
      </c>
      <c r="E27">
        <v>5.0000000000000001E-3</v>
      </c>
      <c r="F27">
        <v>995.7</v>
      </c>
      <c r="G27">
        <v>0</v>
      </c>
      <c r="H27">
        <f>E26-E27</f>
        <v>2.9000000000000001E-2</v>
      </c>
      <c r="J27">
        <f t="shared" si="8"/>
        <v>178.0207739369838</v>
      </c>
      <c r="K27">
        <f t="shared" si="9"/>
        <v>0</v>
      </c>
      <c r="L27" s="17">
        <f t="shared" si="10"/>
        <v>2.6006120113085433E-8</v>
      </c>
      <c r="M27" s="5">
        <v>1.9</v>
      </c>
      <c r="N27">
        <v>86400000</v>
      </c>
    </row>
    <row r="28" spans="1:35" x14ac:dyDescent="0.25">
      <c r="B28" s="15"/>
    </row>
    <row r="29" spans="1:35" ht="18.75" x14ac:dyDescent="0.25">
      <c r="A29" s="19" t="s">
        <v>55</v>
      </c>
      <c r="B29" s="14" t="s">
        <v>16</v>
      </c>
      <c r="C29" s="19" t="s">
        <v>0</v>
      </c>
      <c r="D29" s="19" t="s">
        <v>13</v>
      </c>
      <c r="E29" s="19" t="s">
        <v>52</v>
      </c>
      <c r="F29" s="22" t="s">
        <v>67</v>
      </c>
      <c r="G29" s="19" t="s">
        <v>50</v>
      </c>
      <c r="H29" s="19" t="s">
        <v>51</v>
      </c>
      <c r="I29" s="19"/>
      <c r="J29" s="19"/>
      <c r="K29" s="19"/>
      <c r="L29" s="19" t="s">
        <v>61</v>
      </c>
      <c r="M29" s="19" t="s">
        <v>54</v>
      </c>
      <c r="N29" s="19"/>
    </row>
    <row r="30" spans="1:35" x14ac:dyDescent="0.25">
      <c r="A30" s="16">
        <v>6.1728703703703708E-6</v>
      </c>
      <c r="B30" s="15">
        <v>2512.0140000000001</v>
      </c>
      <c r="C30">
        <v>9.8070000000000004</v>
      </c>
      <c r="D30">
        <v>0.7</v>
      </c>
      <c r="E30">
        <v>0.12</v>
      </c>
      <c r="F30">
        <v>995.7</v>
      </c>
      <c r="G30">
        <v>0</v>
      </c>
      <c r="H30">
        <v>1E-3</v>
      </c>
      <c r="J30">
        <f>(B30/C30)*(D30-E30)</f>
        <v>148.56409911287855</v>
      </c>
      <c r="K30">
        <f>(1/F30*C30)*(G30/H30)</f>
        <v>0</v>
      </c>
      <c r="L30" s="17">
        <f>(A30/(J30-K30))</f>
        <v>4.1550215746808671E-8</v>
      </c>
      <c r="M30" s="5">
        <f>L30*N30</f>
        <v>3.5899386405242693</v>
      </c>
      <c r="N30">
        <v>86400000</v>
      </c>
    </row>
    <row r="31" spans="1:35" x14ac:dyDescent="0.25">
      <c r="A31" s="16">
        <v>6.1728703703703708E-6</v>
      </c>
      <c r="B31" s="15">
        <v>2512.0140000000001</v>
      </c>
      <c r="C31">
        <v>9.8070000000000004</v>
      </c>
      <c r="D31">
        <v>0.7</v>
      </c>
      <c r="E31">
        <v>9.9000000000000005E-2</v>
      </c>
      <c r="F31">
        <v>995.7</v>
      </c>
      <c r="G31">
        <v>0</v>
      </c>
      <c r="H31">
        <f>E30-E31</f>
        <v>2.0999999999999991E-2</v>
      </c>
      <c r="J31">
        <f t="shared" ref="J31:J35" si="13">(B31/C31)*(D31-E31)</f>
        <v>153.94314408075866</v>
      </c>
      <c r="K31">
        <f t="shared" ref="K31:K35" si="14">(1/F31*C31)*(G31/H31)</f>
        <v>0</v>
      </c>
      <c r="L31" s="17">
        <f t="shared" ref="L31:L35" si="15">(A31/(J31-K31))</f>
        <v>4.0098377925372759E-8</v>
      </c>
      <c r="M31" s="5">
        <f t="shared" ref="M31:M34" si="16">L31*N31</f>
        <v>3.4644998527522062</v>
      </c>
      <c r="N31">
        <v>86400000</v>
      </c>
    </row>
    <row r="32" spans="1:35" x14ac:dyDescent="0.25">
      <c r="A32" s="16">
        <v>6.1728703703703708E-6</v>
      </c>
      <c r="B32" s="15">
        <v>2512.0140000000001</v>
      </c>
      <c r="C32">
        <v>9.8070000000000004</v>
      </c>
      <c r="D32">
        <v>0.7</v>
      </c>
      <c r="E32">
        <v>7.9000000000000001E-2</v>
      </c>
      <c r="F32">
        <v>995.7</v>
      </c>
      <c r="G32">
        <v>0</v>
      </c>
      <c r="H32">
        <f t="shared" ref="H32:H34" si="17">E31-E32</f>
        <v>2.0000000000000004E-2</v>
      </c>
      <c r="J32">
        <f t="shared" si="13"/>
        <v>159.06604405016824</v>
      </c>
      <c r="K32">
        <f t="shared" si="14"/>
        <v>0</v>
      </c>
      <c r="L32" s="17">
        <f t="shared" si="15"/>
        <v>3.8806964787679595E-8</v>
      </c>
      <c r="M32" s="5">
        <f t="shared" si="16"/>
        <v>3.3529217576555168</v>
      </c>
      <c r="N32">
        <v>86400000</v>
      </c>
      <c r="R32" t="s">
        <v>59</v>
      </c>
    </row>
    <row r="33" spans="1:18" x14ac:dyDescent="0.25">
      <c r="A33" s="16">
        <v>6.1728703703703708E-6</v>
      </c>
      <c r="B33" s="15">
        <v>2512.0140000000001</v>
      </c>
      <c r="C33">
        <v>9.8070000000000004</v>
      </c>
      <c r="D33">
        <v>0.7</v>
      </c>
      <c r="E33">
        <v>5.8000000000000003E-2</v>
      </c>
      <c r="F33">
        <v>995.7</v>
      </c>
      <c r="G33">
        <v>0</v>
      </c>
      <c r="H33">
        <f t="shared" si="17"/>
        <v>2.0999999999999998E-2</v>
      </c>
      <c r="J33">
        <f t="shared" si="13"/>
        <v>164.44508901804832</v>
      </c>
      <c r="K33">
        <f t="shared" si="14"/>
        <v>0</v>
      </c>
      <c r="L33" s="17">
        <f t="shared" si="15"/>
        <v>3.753757808901718E-8</v>
      </c>
      <c r="M33" s="5">
        <f t="shared" si="16"/>
        <v>3.2432467468910842</v>
      </c>
      <c r="N33">
        <v>86400000</v>
      </c>
    </row>
    <row r="34" spans="1:18" x14ac:dyDescent="0.25">
      <c r="A34" s="16">
        <v>6.1728703703703708E-6</v>
      </c>
      <c r="B34" s="15">
        <v>2512.0140000000001</v>
      </c>
      <c r="C34">
        <v>9.8070000000000004</v>
      </c>
      <c r="D34">
        <v>0.7</v>
      </c>
      <c r="E34">
        <v>3.4000000000000002E-2</v>
      </c>
      <c r="F34">
        <v>995.7</v>
      </c>
      <c r="G34">
        <v>0</v>
      </c>
      <c r="H34">
        <f t="shared" si="17"/>
        <v>2.4E-2</v>
      </c>
      <c r="J34">
        <f t="shared" si="13"/>
        <v>170.59256898133987</v>
      </c>
      <c r="K34">
        <f t="shared" si="14"/>
        <v>0</v>
      </c>
      <c r="L34" s="17">
        <f t="shared" si="15"/>
        <v>3.618487257229584E-8</v>
      </c>
      <c r="M34" s="5">
        <f t="shared" si="16"/>
        <v>3.1263729902463604</v>
      </c>
      <c r="N34">
        <v>86400000</v>
      </c>
    </row>
    <row r="35" spans="1:18" x14ac:dyDescent="0.25">
      <c r="A35" s="16">
        <v>6.1728703703703708E-6</v>
      </c>
      <c r="B35" s="15">
        <v>2512.0140000000001</v>
      </c>
      <c r="C35">
        <v>9.8070000000000004</v>
      </c>
      <c r="D35">
        <v>0.7</v>
      </c>
      <c r="E35">
        <v>5.0000000000000001E-3</v>
      </c>
      <c r="F35">
        <v>995.7</v>
      </c>
      <c r="G35">
        <v>0</v>
      </c>
      <c r="H35">
        <f>E34-E35</f>
        <v>2.9000000000000001E-2</v>
      </c>
      <c r="J35">
        <f t="shared" si="13"/>
        <v>178.0207739369838</v>
      </c>
      <c r="K35">
        <f t="shared" si="14"/>
        <v>0</v>
      </c>
      <c r="L35" s="17">
        <f t="shared" si="15"/>
        <v>3.4675000191581334E-8</v>
      </c>
      <c r="M35" s="5">
        <v>2.7</v>
      </c>
      <c r="N35">
        <v>86400000</v>
      </c>
    </row>
    <row r="36" spans="1:18" x14ac:dyDescent="0.25">
      <c r="B36" s="15"/>
      <c r="L36" s="17"/>
    </row>
    <row r="37" spans="1:18" x14ac:dyDescent="0.25">
      <c r="B37" s="15"/>
    </row>
    <row r="38" spans="1:18" ht="18.75" x14ac:dyDescent="0.25">
      <c r="A38" s="19" t="s">
        <v>55</v>
      </c>
      <c r="B38" s="14" t="s">
        <v>16</v>
      </c>
      <c r="C38" s="19" t="s">
        <v>0</v>
      </c>
      <c r="D38" s="19" t="s">
        <v>13</v>
      </c>
      <c r="E38" s="19" t="s">
        <v>52</v>
      </c>
      <c r="F38" s="22" t="s">
        <v>67</v>
      </c>
      <c r="G38" s="19" t="s">
        <v>50</v>
      </c>
      <c r="H38" s="19" t="s">
        <v>51</v>
      </c>
      <c r="I38" s="19"/>
      <c r="J38" s="19"/>
      <c r="K38" s="19"/>
      <c r="L38" s="19" t="s">
        <v>61</v>
      </c>
      <c r="M38" s="19" t="s">
        <v>54</v>
      </c>
    </row>
    <row r="39" spans="1:18" x14ac:dyDescent="0.25">
      <c r="A39" s="16">
        <v>7.7160185185185196E-6</v>
      </c>
      <c r="B39" s="15">
        <v>2512.0140000000001</v>
      </c>
      <c r="C39">
        <v>9.8070000000000004</v>
      </c>
      <c r="D39">
        <v>0.7</v>
      </c>
      <c r="E39">
        <v>0.12</v>
      </c>
      <c r="F39">
        <v>995.7</v>
      </c>
      <c r="G39">
        <v>0</v>
      </c>
      <c r="H39">
        <v>1E-3</v>
      </c>
      <c r="J39">
        <f>(B39/C39)*(D39-E39)</f>
        <v>148.56409911287855</v>
      </c>
      <c r="K39">
        <f>(1/F39*C39)*(G39/H39)</f>
        <v>0</v>
      </c>
      <c r="L39" s="5">
        <f>(A39/(J39-K39))</f>
        <v>5.1937302245920883E-8</v>
      </c>
      <c r="M39" s="5">
        <f>L39*N39</f>
        <v>4.4873829140475641</v>
      </c>
      <c r="N39">
        <v>86400000</v>
      </c>
    </row>
    <row r="40" spans="1:18" x14ac:dyDescent="0.25">
      <c r="A40" s="16">
        <v>7.7160185185185196E-6</v>
      </c>
      <c r="B40" s="15">
        <v>2512.0140000000001</v>
      </c>
      <c r="C40">
        <v>9.8070000000000004</v>
      </c>
      <c r="D40">
        <v>0.7</v>
      </c>
      <c r="E40">
        <v>9.9000000000000005E-2</v>
      </c>
      <c r="F40">
        <v>995.7</v>
      </c>
      <c r="G40">
        <v>0</v>
      </c>
      <c r="H40">
        <f>E39-E40</f>
        <v>2.0999999999999991E-2</v>
      </c>
      <c r="J40">
        <f t="shared" ref="J40:J44" si="18">(B40/C40)*(D40-E40)</f>
        <v>153.94314408075866</v>
      </c>
      <c r="K40">
        <f t="shared" ref="K40:K44" si="19">(1/F40*C40)*(G40/H40)</f>
        <v>0</v>
      </c>
      <c r="L40" s="5">
        <f t="shared" ref="L40:L44" si="20">(A40/(J40-K40))</f>
        <v>5.0122521302219815E-8</v>
      </c>
      <c r="M40" s="5">
        <f t="shared" ref="M40:M43" si="21">L40*N40</f>
        <v>4.3305858405117919</v>
      </c>
      <c r="N40">
        <v>86400000</v>
      </c>
    </row>
    <row r="41" spans="1:18" x14ac:dyDescent="0.25">
      <c r="A41" s="16">
        <v>7.7160185185185196E-6</v>
      </c>
      <c r="B41" s="15">
        <v>2512.0140000000001</v>
      </c>
      <c r="C41">
        <v>9.8070000000000004</v>
      </c>
      <c r="D41">
        <v>0.7</v>
      </c>
      <c r="E41">
        <v>7.9000000000000001E-2</v>
      </c>
      <c r="F41">
        <v>995.7</v>
      </c>
      <c r="G41">
        <v>0</v>
      </c>
      <c r="H41">
        <f t="shared" ref="H41:H43" si="22">E40-E41</f>
        <v>2.0000000000000004E-2</v>
      </c>
      <c r="J41">
        <f t="shared" si="18"/>
        <v>159.06604405016824</v>
      </c>
      <c r="K41">
        <f t="shared" si="19"/>
        <v>0</v>
      </c>
      <c r="L41" s="5">
        <f t="shared" si="20"/>
        <v>4.8508269408428517E-8</v>
      </c>
      <c r="M41" s="5">
        <f t="shared" si="21"/>
        <v>4.1911144768882238</v>
      </c>
      <c r="N41">
        <v>86400000</v>
      </c>
      <c r="R41" t="s">
        <v>62</v>
      </c>
    </row>
    <row r="42" spans="1:18" x14ac:dyDescent="0.25">
      <c r="A42" s="16">
        <v>7.7160185185185196E-6</v>
      </c>
      <c r="B42" s="15">
        <v>2512.0140000000001</v>
      </c>
      <c r="C42">
        <v>9.8070000000000004</v>
      </c>
      <c r="D42">
        <v>0.7</v>
      </c>
      <c r="E42">
        <v>5.8000000000000003E-2</v>
      </c>
      <c r="F42">
        <v>995.7</v>
      </c>
      <c r="G42">
        <v>0</v>
      </c>
      <c r="H42">
        <f t="shared" si="22"/>
        <v>2.0999999999999998E-2</v>
      </c>
      <c r="J42">
        <f t="shared" si="18"/>
        <v>164.44508901804832</v>
      </c>
      <c r="K42">
        <f t="shared" si="19"/>
        <v>0</v>
      </c>
      <c r="L42" s="5">
        <f t="shared" si="20"/>
        <v>4.6921550315629461E-8</v>
      </c>
      <c r="M42" s="5">
        <f t="shared" si="21"/>
        <v>4.0540219472703853</v>
      </c>
      <c r="N42">
        <v>86400000</v>
      </c>
    </row>
    <row r="43" spans="1:18" x14ac:dyDescent="0.25">
      <c r="A43" s="16">
        <v>7.7160185185185196E-6</v>
      </c>
      <c r="B43" s="15">
        <v>2512.0140000000001</v>
      </c>
      <c r="C43">
        <v>9.8070000000000004</v>
      </c>
      <c r="D43">
        <v>0.7</v>
      </c>
      <c r="E43">
        <v>3.4000000000000002E-2</v>
      </c>
      <c r="F43">
        <v>995.7</v>
      </c>
      <c r="G43">
        <v>0</v>
      </c>
      <c r="H43">
        <f t="shared" si="22"/>
        <v>2.4E-2</v>
      </c>
      <c r="J43">
        <f t="shared" si="18"/>
        <v>170.59256898133987</v>
      </c>
      <c r="K43">
        <f t="shared" si="19"/>
        <v>0</v>
      </c>
      <c r="L43" s="5">
        <f t="shared" si="20"/>
        <v>4.523068363758875E-8</v>
      </c>
      <c r="M43" s="5">
        <f t="shared" si="21"/>
        <v>3.9079310662876678</v>
      </c>
      <c r="N43">
        <v>86400000</v>
      </c>
    </row>
    <row r="44" spans="1:18" x14ac:dyDescent="0.25">
      <c r="A44" s="16">
        <v>7.7160185185185196E-6</v>
      </c>
      <c r="B44" s="15">
        <v>2512.0140000000001</v>
      </c>
      <c r="C44">
        <v>9.8070000000000004</v>
      </c>
      <c r="D44">
        <v>0.7</v>
      </c>
      <c r="E44">
        <v>5.0000000000000001E-3</v>
      </c>
      <c r="F44">
        <v>995.7</v>
      </c>
      <c r="G44">
        <v>0</v>
      </c>
      <c r="H44">
        <f>E43-E44</f>
        <v>2.9000000000000001E-2</v>
      </c>
      <c r="J44">
        <f t="shared" si="18"/>
        <v>178.0207739369838</v>
      </c>
      <c r="K44">
        <f t="shared" si="19"/>
        <v>0</v>
      </c>
      <c r="L44" s="5">
        <f t="shared" si="20"/>
        <v>4.3343360147674975E-8</v>
      </c>
      <c r="M44" s="5">
        <v>3.5</v>
      </c>
      <c r="N44">
        <v>86400000</v>
      </c>
    </row>
    <row r="48" spans="1:18" x14ac:dyDescent="0.25">
      <c r="A48" s="2" t="s">
        <v>65</v>
      </c>
      <c r="B48" s="4"/>
      <c r="C48" s="2"/>
    </row>
    <row r="49" spans="1:21" ht="18.75" x14ac:dyDescent="0.25">
      <c r="A49" s="19" t="s">
        <v>55</v>
      </c>
      <c r="B49" s="20" t="s">
        <v>16</v>
      </c>
      <c r="C49" s="19" t="s">
        <v>0</v>
      </c>
      <c r="D49" s="19" t="s">
        <v>13</v>
      </c>
      <c r="E49" s="19" t="s">
        <v>52</v>
      </c>
      <c r="F49" s="22" t="s">
        <v>67</v>
      </c>
      <c r="G49" s="19" t="s">
        <v>50</v>
      </c>
      <c r="H49" s="19" t="s">
        <v>51</v>
      </c>
      <c r="I49" s="19"/>
      <c r="J49" s="19"/>
      <c r="K49" s="19"/>
      <c r="L49" s="19" t="s">
        <v>56</v>
      </c>
      <c r="M49" s="19" t="s">
        <v>54</v>
      </c>
      <c r="N49" s="19" t="s">
        <v>18</v>
      </c>
    </row>
    <row r="50" spans="1:21" x14ac:dyDescent="0.25">
      <c r="A50" s="16">
        <v>3.0863888888888892E-6</v>
      </c>
      <c r="B50" s="15">
        <v>1114.2244000000001</v>
      </c>
      <c r="C50">
        <v>9.8070000000000004</v>
      </c>
      <c r="D50">
        <v>0.7</v>
      </c>
      <c r="E50">
        <v>0.12</v>
      </c>
      <c r="F50">
        <v>995.7</v>
      </c>
      <c r="G50">
        <v>0</v>
      </c>
      <c r="H50">
        <v>1E-3</v>
      </c>
      <c r="J50" s="5">
        <f>(B50/C50)*(D50-E50)</f>
        <v>65.896823901294979</v>
      </c>
      <c r="L50" s="17">
        <f>A50/J50</f>
        <v>4.6836686598308674E-8</v>
      </c>
      <c r="M50" s="7">
        <f>L50*O50</f>
        <v>4.0466897220938698</v>
      </c>
      <c r="N50">
        <v>1</v>
      </c>
      <c r="O50" s="8">
        <v>86400000</v>
      </c>
    </row>
    <row r="51" spans="1:21" x14ac:dyDescent="0.25">
      <c r="A51" s="16">
        <v>3.0863888888888892E-6</v>
      </c>
      <c r="B51" s="15">
        <v>1114.2244000000001</v>
      </c>
      <c r="C51">
        <v>9.8070000000000004</v>
      </c>
      <c r="D51">
        <v>0.7</v>
      </c>
      <c r="E51">
        <v>9.9000000000000005E-2</v>
      </c>
      <c r="F51">
        <v>995.7</v>
      </c>
      <c r="G51">
        <v>0</v>
      </c>
      <c r="H51">
        <f>E50-E51</f>
        <v>2.0999999999999991E-2</v>
      </c>
      <c r="J51" s="5">
        <f t="shared" ref="J51:J55" si="23">(B51/C51)*(D51-E51)</f>
        <v>68.282743387376357</v>
      </c>
      <c r="L51" s="17">
        <f t="shared" ref="L51:L55" si="24">A51/J51</f>
        <v>4.5200130161429329E-8</v>
      </c>
      <c r="M51" s="7">
        <f>L51*O51</f>
        <v>3.905291245947494</v>
      </c>
      <c r="N51">
        <v>0.8</v>
      </c>
      <c r="O51" s="8">
        <v>86400000</v>
      </c>
    </row>
    <row r="52" spans="1:21" x14ac:dyDescent="0.25">
      <c r="A52" s="16">
        <v>3.0863888888888892E-6</v>
      </c>
      <c r="B52" s="15">
        <v>1114.2244000000001</v>
      </c>
      <c r="C52">
        <v>9.8070000000000004</v>
      </c>
      <c r="D52">
        <v>0.7</v>
      </c>
      <c r="E52">
        <v>7.9000000000000001E-2</v>
      </c>
      <c r="F52">
        <v>995.7</v>
      </c>
      <c r="G52">
        <v>0</v>
      </c>
      <c r="H52">
        <f t="shared" ref="H52:H54" si="25">E51-E52</f>
        <v>2.0000000000000004E-2</v>
      </c>
      <c r="J52" s="5">
        <f t="shared" si="23"/>
        <v>70.555047659834813</v>
      </c>
      <c r="L52" s="17">
        <f t="shared" si="24"/>
        <v>4.3744409383283453E-8</v>
      </c>
      <c r="M52" s="7">
        <f>L52*O52</f>
        <v>3.7795169707156901</v>
      </c>
      <c r="N52">
        <v>0.6</v>
      </c>
      <c r="O52" s="8">
        <v>86400000</v>
      </c>
      <c r="R52" t="s">
        <v>60</v>
      </c>
    </row>
    <row r="53" spans="1:21" x14ac:dyDescent="0.25">
      <c r="A53" s="16">
        <v>3.0863888888888892E-6</v>
      </c>
      <c r="B53" s="15">
        <v>1114.2244000000001</v>
      </c>
      <c r="C53">
        <v>9.8070000000000004</v>
      </c>
      <c r="D53">
        <v>0.7</v>
      </c>
      <c r="E53">
        <v>5.8000000000000003E-2</v>
      </c>
      <c r="F53">
        <v>995.7</v>
      </c>
      <c r="G53">
        <v>0</v>
      </c>
      <c r="H53">
        <f t="shared" si="25"/>
        <v>2.0999999999999998E-2</v>
      </c>
      <c r="J53" s="5">
        <f t="shared" si="23"/>
        <v>72.940967145916161</v>
      </c>
      <c r="L53" s="17">
        <f t="shared" si="24"/>
        <v>4.2313517487568588E-8</v>
      </c>
      <c r="M53" s="7">
        <f>L53*O53</f>
        <v>3.6558879109259261</v>
      </c>
      <c r="N53">
        <v>0.4</v>
      </c>
      <c r="O53" s="8">
        <v>86400000</v>
      </c>
    </row>
    <row r="54" spans="1:21" x14ac:dyDescent="0.25">
      <c r="A54" s="16">
        <v>3.0863888888888892E-6</v>
      </c>
      <c r="B54" s="15">
        <v>1114.2244000000001</v>
      </c>
      <c r="C54">
        <v>9.8070000000000004</v>
      </c>
      <c r="D54">
        <v>0.7</v>
      </c>
      <c r="E54">
        <v>3.4000000000000002E-2</v>
      </c>
      <c r="F54">
        <v>995.7</v>
      </c>
      <c r="G54">
        <v>0</v>
      </c>
      <c r="H54">
        <f t="shared" si="25"/>
        <v>2.4E-2</v>
      </c>
      <c r="J54" s="5">
        <f t="shared" si="23"/>
        <v>75.667732272866303</v>
      </c>
      <c r="L54" s="17">
        <f t="shared" si="24"/>
        <v>4.078870604657512E-8</v>
      </c>
      <c r="M54" s="7">
        <f>L54*O54</f>
        <v>3.5241442024240905</v>
      </c>
      <c r="N54">
        <v>0.2</v>
      </c>
      <c r="O54" s="8">
        <v>86400000</v>
      </c>
    </row>
    <row r="55" spans="1:21" x14ac:dyDescent="0.25">
      <c r="A55" s="16">
        <v>3.0863888888888892E-6</v>
      </c>
      <c r="B55" s="15">
        <v>1114.2244000000001</v>
      </c>
      <c r="C55">
        <v>9.8070000000000004</v>
      </c>
      <c r="D55">
        <v>0.7</v>
      </c>
      <c r="E55">
        <v>5.0000000000000001E-3</v>
      </c>
      <c r="F55">
        <v>995.7</v>
      </c>
      <c r="G55">
        <v>0</v>
      </c>
      <c r="H55">
        <f>E54-E55</f>
        <v>2.9000000000000001E-2</v>
      </c>
      <c r="J55" s="5">
        <f t="shared" si="23"/>
        <v>78.962573467931065</v>
      </c>
      <c r="L55" s="17">
        <f t="shared" si="24"/>
        <v>3.9086731261897877E-8</v>
      </c>
      <c r="M55" s="7">
        <v>1.2</v>
      </c>
      <c r="N55">
        <v>0.01</v>
      </c>
      <c r="O55" s="8">
        <v>86400000</v>
      </c>
    </row>
    <row r="58" spans="1:21" x14ac:dyDescent="0.25">
      <c r="B58" s="20" t="s">
        <v>23</v>
      </c>
      <c r="C58" s="19" t="s">
        <v>24</v>
      </c>
      <c r="D58" s="19" t="s">
        <v>48</v>
      </c>
    </row>
    <row r="59" spans="1:21" x14ac:dyDescent="0.25">
      <c r="B59" s="7">
        <v>1.794942395856953</v>
      </c>
      <c r="C59" s="7">
        <v>2.5830671703189676</v>
      </c>
      <c r="D59" s="7">
        <v>4.0466897220938698</v>
      </c>
    </row>
    <row r="60" spans="1:21" x14ac:dyDescent="0.25">
      <c r="B60" s="7">
        <v>1.7322239427571255</v>
      </c>
      <c r="C60" s="7">
        <v>2.4928102475623977</v>
      </c>
      <c r="D60" s="7">
        <v>3.905291245947494</v>
      </c>
      <c r="R60" s="19" t="s">
        <v>30</v>
      </c>
      <c r="S60" s="19" t="s">
        <v>31</v>
      </c>
      <c r="T60" s="19" t="s">
        <v>63</v>
      </c>
      <c r="U60" s="19" t="s">
        <v>64</v>
      </c>
    </row>
    <row r="61" spans="1:21" x14ac:dyDescent="0.25">
      <c r="B61" s="7">
        <v>1.6764357320403103</v>
      </c>
      <c r="C61" s="7">
        <v>2.4125265036795511</v>
      </c>
      <c r="D61" s="7">
        <v>3.7795169707156901</v>
      </c>
      <c r="R61">
        <v>300</v>
      </c>
      <c r="S61">
        <v>638</v>
      </c>
      <c r="T61" s="3">
        <v>50.12</v>
      </c>
      <c r="U61">
        <f>POWER(T61,2)</f>
        <v>2512.0143999999996</v>
      </c>
    </row>
    <row r="62" spans="1:21" x14ac:dyDescent="0.25">
      <c r="B62" s="7">
        <v>1.6215990492165619</v>
      </c>
      <c r="C62" s="7">
        <v>2.3336120853348934</v>
      </c>
      <c r="D62" s="7">
        <v>3.6558879109259261</v>
      </c>
      <c r="R62">
        <v>250</v>
      </c>
      <c r="S62">
        <v>532</v>
      </c>
      <c r="T62" s="3">
        <v>41.78</v>
      </c>
      <c r="U62">
        <f t="shared" ref="U62:U64" si="26">POWER(T62,2)</f>
        <v>1745.5684000000001</v>
      </c>
    </row>
    <row r="63" spans="1:21" x14ac:dyDescent="0.25">
      <c r="B63" s="7">
        <v>1.5631630474429918</v>
      </c>
      <c r="C63" s="7">
        <v>2.2495179561336354</v>
      </c>
      <c r="D63" s="7">
        <v>3.5241442024240905</v>
      </c>
      <c r="R63">
        <v>200</v>
      </c>
      <c r="S63">
        <v>425</v>
      </c>
      <c r="T63" s="3">
        <v>33.380000000000003</v>
      </c>
      <c r="U63">
        <f t="shared" si="26"/>
        <v>1114.2244000000001</v>
      </c>
    </row>
    <row r="64" spans="1:21" x14ac:dyDescent="0.25">
      <c r="B64" s="7">
        <v>1.2</v>
      </c>
      <c r="C64" s="7">
        <v>1.2</v>
      </c>
      <c r="D64" s="7">
        <v>1.2</v>
      </c>
      <c r="R64">
        <v>100</v>
      </c>
      <c r="S64">
        <v>213</v>
      </c>
      <c r="T64" s="3">
        <v>16.73</v>
      </c>
      <c r="U64">
        <f t="shared" si="26"/>
        <v>279.8929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A2BC6ED660244B65A53B596B482FE" ma:contentTypeVersion="14" ma:contentTypeDescription="Create a new document." ma:contentTypeScope="" ma:versionID="ad3db6afcf19c74e5e9a19a0f136608f">
  <xsd:schema xmlns:xsd="http://www.w3.org/2001/XMLSchema" xmlns:xs="http://www.w3.org/2001/XMLSchema" xmlns:p="http://schemas.microsoft.com/office/2006/metadata/properties" xmlns:ns3="b80aac87-0d98-49ad-b5ec-1f783f119aeb" xmlns:ns4="6a3b66f3-109f-4a6f-899b-9ddb114a8c36" targetNamespace="http://schemas.microsoft.com/office/2006/metadata/properties" ma:root="true" ma:fieldsID="fc01ffb63a9e5ed5940fcb64b66995bc" ns3:_="" ns4:_="">
    <xsd:import namespace="b80aac87-0d98-49ad-b5ec-1f783f119aeb"/>
    <xsd:import namespace="6a3b66f3-109f-4a6f-899b-9ddb114a8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aac87-0d98-49ad-b5ec-1f783f119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b66f3-109f-4a6f-899b-9ddb114a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42454E-B11B-478B-87B1-721B685E6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aac87-0d98-49ad-b5ec-1f783f119aeb"/>
    <ds:schemaRef ds:uri="6a3b66f3-109f-4a6f-899b-9ddb114a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F00F72-ABB5-4114-B051-993DFB04E9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F9D92-97D4-4E56-AE38-4E65E4F4C38E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3b66f3-109f-4a6f-899b-9ddb114a8c36"/>
    <ds:schemaRef ds:uri="b80aac87-0d98-49ad-b5ec-1f783f119ae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Head value </vt:lpstr>
      <vt:lpstr>matric potential vs distance</vt:lpstr>
      <vt:lpstr>g-level</vt:lpstr>
      <vt:lpstr>Vm</vt:lpstr>
      <vt:lpstr>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0x010100943A2BC6ED660244B65A53B596B482FE</vt:lpwstr>
  </property>
</Properties>
</file>